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\Documents\CA Centers\"/>
    </mc:Choice>
  </mc:AlternateContent>
  <xr:revisionPtr revIDLastSave="0" documentId="8_{B852ADC5-00CE-421B-A25B-3723AA48F461}" xr6:coauthVersionLast="45" xr6:coauthVersionMax="45" xr10:uidLastSave="{00000000-0000-0000-0000-000000000000}"/>
  <bookViews>
    <workbookView xWindow="2148" yWindow="552" windowWidth="19404" windowHeight="11292" xr2:uid="{F6724078-4DE1-4DB8-BAE3-C8055326A83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12" i="1" l="1"/>
  <c r="R39" i="1"/>
  <c r="P39" i="1"/>
  <c r="Q39" i="1"/>
  <c r="S86" i="1" l="1"/>
  <c r="Q86" i="1"/>
  <c r="S85" i="1"/>
  <c r="Q85" i="1"/>
  <c r="S84" i="1"/>
  <c r="Q84" i="1"/>
  <c r="S83" i="1"/>
  <c r="Q83" i="1"/>
  <c r="S82" i="1"/>
  <c r="Q82" i="1"/>
  <c r="S81" i="1"/>
  <c r="Q81" i="1"/>
  <c r="S80" i="1"/>
  <c r="Q80" i="1"/>
  <c r="S79" i="1"/>
  <c r="Q79" i="1"/>
  <c r="S78" i="1"/>
  <c r="Q78" i="1"/>
  <c r="S77" i="1"/>
  <c r="Q77" i="1"/>
  <c r="S76" i="1"/>
  <c r="Q76" i="1"/>
  <c r="S75" i="1"/>
  <c r="Q75" i="1"/>
  <c r="S74" i="1"/>
  <c r="Q74" i="1"/>
  <c r="S73" i="1"/>
  <c r="Q73" i="1"/>
  <c r="S72" i="1"/>
  <c r="Q72" i="1"/>
  <c r="S71" i="1"/>
  <c r="Q71" i="1"/>
  <c r="S70" i="1"/>
  <c r="Q70" i="1"/>
  <c r="S69" i="1"/>
  <c r="Q69" i="1"/>
  <c r="S68" i="1"/>
  <c r="Q68" i="1"/>
  <c r="S67" i="1"/>
  <c r="Q67" i="1"/>
  <c r="S66" i="1"/>
  <c r="Q66" i="1"/>
  <c r="S65" i="1"/>
  <c r="Q65" i="1"/>
  <c r="S64" i="1"/>
  <c r="Q64" i="1"/>
  <c r="S63" i="1"/>
  <c r="Q63" i="1"/>
  <c r="S62" i="1"/>
  <c r="Q62" i="1"/>
  <c r="S61" i="1"/>
  <c r="Q61" i="1"/>
  <c r="S60" i="1"/>
  <c r="Q60" i="1"/>
  <c r="S59" i="1"/>
  <c r="Q59" i="1"/>
  <c r="S58" i="1"/>
  <c r="Q58" i="1"/>
  <c r="S57" i="1"/>
  <c r="Q57" i="1"/>
  <c r="R38" i="1"/>
  <c r="Q38" i="1"/>
  <c r="R86" i="1" s="1"/>
  <c r="P38" i="1"/>
  <c r="T57" i="1" l="1"/>
  <c r="T59" i="1"/>
  <c r="R68" i="1"/>
  <c r="R74" i="1"/>
  <c r="R76" i="1"/>
  <c r="R82" i="1"/>
  <c r="R84" i="1"/>
  <c r="T85" i="1"/>
  <c r="R62" i="1"/>
  <c r="T65" i="1"/>
  <c r="T71" i="1"/>
  <c r="R78" i="1"/>
  <c r="R57" i="1"/>
  <c r="T58" i="1"/>
  <c r="R59" i="1"/>
  <c r="T60" i="1"/>
  <c r="R61" i="1"/>
  <c r="T62" i="1"/>
  <c r="R63" i="1"/>
  <c r="T64" i="1"/>
  <c r="U64" i="1" s="1"/>
  <c r="R65" i="1"/>
  <c r="T66" i="1"/>
  <c r="R67" i="1"/>
  <c r="T68" i="1"/>
  <c r="U68" i="1" s="1"/>
  <c r="R69" i="1"/>
  <c r="T70" i="1"/>
  <c r="R71" i="1"/>
  <c r="T72" i="1"/>
  <c r="R73" i="1"/>
  <c r="T74" i="1"/>
  <c r="R75" i="1"/>
  <c r="T76" i="1"/>
  <c r="R77" i="1"/>
  <c r="T78" i="1"/>
  <c r="R79" i="1"/>
  <c r="T80" i="1"/>
  <c r="R81" i="1"/>
  <c r="T82" i="1"/>
  <c r="U82" i="1" s="1"/>
  <c r="R83" i="1"/>
  <c r="T84" i="1"/>
  <c r="U84" i="1" s="1"/>
  <c r="R85" i="1"/>
  <c r="T86" i="1"/>
  <c r="U86" i="1" s="1"/>
  <c r="R58" i="1"/>
  <c r="R60" i="1"/>
  <c r="U60" i="1" s="1"/>
  <c r="T61" i="1"/>
  <c r="U61" i="1" s="1"/>
  <c r="T63" i="1"/>
  <c r="R64" i="1"/>
  <c r="R66" i="1"/>
  <c r="T67" i="1"/>
  <c r="T69" i="1"/>
  <c r="R70" i="1"/>
  <c r="R72" i="1"/>
  <c r="T73" i="1"/>
  <c r="U73" i="1" s="1"/>
  <c r="T75" i="1"/>
  <c r="T77" i="1"/>
  <c r="T79" i="1"/>
  <c r="U79" i="1" s="1"/>
  <c r="R80" i="1"/>
  <c r="T81" i="1"/>
  <c r="T83" i="1"/>
  <c r="U75" i="1" l="1"/>
  <c r="U65" i="1"/>
  <c r="U72" i="1"/>
  <c r="U80" i="1"/>
  <c r="U67" i="1"/>
  <c r="U81" i="1"/>
  <c r="U62" i="1"/>
  <c r="U57" i="1"/>
  <c r="U76" i="1"/>
  <c r="U85" i="1"/>
  <c r="U77" i="1"/>
  <c r="U83" i="1"/>
  <c r="U71" i="1"/>
  <c r="U69" i="1"/>
  <c r="U63" i="1"/>
  <c r="U78" i="1"/>
  <c r="U74" i="1"/>
  <c r="U70" i="1"/>
  <c r="U66" i="1"/>
  <c r="U58" i="1"/>
  <c r="U59" i="1"/>
  <c r="P90" i="1" l="1"/>
  <c r="Q93" i="1"/>
  <c r="P93" i="1"/>
  <c r="T93" i="1"/>
  <c r="R93" i="1"/>
  <c r="X55" i="1"/>
  <c r="S93" i="1"/>
  <c r="R95" i="1" l="1"/>
  <c r="T95" i="1"/>
  <c r="S95" i="1"/>
  <c r="Q95" i="1"/>
  <c r="P95" i="1"/>
  <c r="P29" i="1" s="1"/>
  <c r="Q101" i="1" l="1"/>
  <c r="Q102" i="1"/>
  <c r="P31" i="1" s="1"/>
  <c r="P98" i="1"/>
  <c r="P30" i="1" s="1"/>
  <c r="Q118" i="1" l="1"/>
  <c r="P32" i="1"/>
  <c r="D57" i="1" s="1"/>
  <c r="D56" i="1" l="1"/>
  <c r="E56" i="1" s="1"/>
  <c r="D70" i="1"/>
  <c r="E70" i="1" s="1"/>
  <c r="D78" i="1"/>
  <c r="E78" i="1" s="1"/>
  <c r="D49" i="1"/>
  <c r="E49" i="1" s="1"/>
  <c r="D95" i="1"/>
  <c r="E95" i="1" s="1"/>
  <c r="D92" i="1"/>
  <c r="E92" i="1" s="1"/>
  <c r="D61" i="1"/>
  <c r="E61" i="1" s="1"/>
  <c r="D89" i="1"/>
  <c r="E89" i="1" s="1"/>
  <c r="D51" i="1"/>
  <c r="E51" i="1" s="1"/>
  <c r="D85" i="1"/>
  <c r="E85" i="1" s="1"/>
  <c r="D67" i="1"/>
  <c r="E67" i="1" s="1"/>
  <c r="D68" i="1"/>
  <c r="E68" i="1" s="1"/>
  <c r="D90" i="1"/>
  <c r="E90" i="1" s="1"/>
  <c r="D88" i="1"/>
  <c r="E88" i="1" s="1"/>
  <c r="D87" i="1"/>
  <c r="E87" i="1" s="1"/>
  <c r="E57" i="1"/>
  <c r="D83" i="1"/>
  <c r="E83" i="1" s="1"/>
  <c r="D45" i="1"/>
  <c r="E45" i="1" s="1"/>
  <c r="D93" i="1"/>
  <c r="E93" i="1" s="1"/>
  <c r="D43" i="1"/>
  <c r="E43" i="1" s="1"/>
  <c r="D69" i="1"/>
  <c r="E69" i="1" s="1"/>
  <c r="D52" i="1"/>
  <c r="E52" i="1" s="1"/>
  <c r="D71" i="1"/>
  <c r="E71" i="1" s="1"/>
  <c r="D48" i="1"/>
  <c r="E48" i="1" s="1"/>
  <c r="D94" i="1"/>
  <c r="E94" i="1" s="1"/>
  <c r="D84" i="1"/>
  <c r="E84" i="1" s="1"/>
  <c r="D63" i="1"/>
  <c r="E63" i="1" s="1"/>
  <c r="D91" i="1"/>
  <c r="E91" i="1" s="1"/>
  <c r="D38" i="1"/>
  <c r="E38" i="1" s="1"/>
  <c r="D58" i="1"/>
  <c r="E58" i="1" s="1"/>
  <c r="D47" i="1"/>
  <c r="E47" i="1" s="1"/>
  <c r="D39" i="1"/>
  <c r="E39" i="1" s="1"/>
  <c r="D79" i="1"/>
  <c r="E79" i="1" s="1"/>
  <c r="D74" i="1"/>
  <c r="E74" i="1" s="1"/>
  <c r="D64" i="1"/>
  <c r="E64" i="1" s="1"/>
  <c r="D82" i="1"/>
  <c r="E82" i="1" s="1"/>
  <c r="D86" i="1"/>
  <c r="E86" i="1" s="1"/>
  <c r="D46" i="1"/>
  <c r="E46" i="1" s="1"/>
  <c r="D77" i="1"/>
  <c r="E77" i="1" s="1"/>
  <c r="D75" i="1"/>
  <c r="E75" i="1" s="1"/>
  <c r="D76" i="1"/>
  <c r="E76" i="1" s="1"/>
  <c r="D37" i="1"/>
  <c r="E37" i="1" s="1"/>
  <c r="D81" i="1"/>
  <c r="E81" i="1" s="1"/>
  <c r="D80" i="1"/>
  <c r="E80" i="1" s="1"/>
  <c r="D73" i="1"/>
  <c r="E73" i="1" s="1"/>
  <c r="D53" i="1"/>
  <c r="E53" i="1" s="1"/>
  <c r="D66" i="1"/>
  <c r="E66" i="1" s="1"/>
  <c r="D59" i="1"/>
  <c r="E59" i="1" s="1"/>
  <c r="D50" i="1"/>
  <c r="E50" i="1" s="1"/>
  <c r="D44" i="1"/>
  <c r="E44" i="1" s="1"/>
  <c r="D65" i="1"/>
  <c r="E65" i="1" s="1"/>
  <c r="D41" i="1"/>
  <c r="E41" i="1" s="1"/>
  <c r="D36" i="1"/>
  <c r="E36" i="1" s="1"/>
  <c r="D96" i="1"/>
  <c r="E96" i="1" s="1"/>
  <c r="D72" i="1"/>
  <c r="E72" i="1" s="1"/>
  <c r="D60" i="1"/>
  <c r="E60" i="1" s="1"/>
  <c r="D62" i="1"/>
  <c r="E62" i="1" s="1"/>
  <c r="D55" i="1"/>
  <c r="D42" i="1"/>
  <c r="E42" i="1" s="1"/>
  <c r="D54" i="1"/>
  <c r="E54" i="1" s="1"/>
  <c r="D40" i="1"/>
  <c r="E40" i="1" s="1"/>
  <c r="E30" i="1" l="1"/>
  <c r="E55" i="1"/>
</calcChain>
</file>

<file path=xl/sharedStrings.xml><?xml version="1.0" encoding="utf-8"?>
<sst xmlns="http://schemas.openxmlformats.org/spreadsheetml/2006/main" count="139" uniqueCount="112">
  <si>
    <t>Enter sampling values in table below:</t>
  </si>
  <si>
    <t>Sample taken over:</t>
  </si>
  <si>
    <t>Volume</t>
  </si>
  <si>
    <t>Sampling times</t>
  </si>
  <si>
    <t>Reference parameters</t>
  </si>
  <si>
    <t>Horizontal</t>
  </si>
  <si>
    <t>Bent sheet</t>
  </si>
  <si>
    <t>Vertical</t>
  </si>
  <si>
    <t>Units</t>
  </si>
  <si>
    <t>Source:</t>
  </si>
  <si>
    <t>Meeting Hazardous Waste Requirements for Metal Finishers</t>
  </si>
  <si>
    <t>collected</t>
  </si>
  <si>
    <r>
      <t>Bulk rate constant (k</t>
    </r>
    <r>
      <rPr>
        <vertAlign val="subscript"/>
        <sz val="11"/>
        <color theme="1"/>
        <rFont val="Calibri"/>
        <family val="2"/>
        <scheme val="minor"/>
      </rPr>
      <t>Bref</t>
    </r>
    <r>
      <rPr>
        <sz val="11"/>
        <color theme="1"/>
        <rFont val="Calibri"/>
        <family val="2"/>
        <scheme val="minor"/>
      </rPr>
      <t>)</t>
    </r>
  </si>
  <si>
    <r>
      <t>sec</t>
    </r>
    <r>
      <rPr>
        <vertAlign val="superscript"/>
        <sz val="12"/>
        <color theme="1"/>
        <rFont val="Calibri"/>
        <family val="2"/>
        <scheme val="minor"/>
      </rPr>
      <t>-1</t>
    </r>
  </si>
  <si>
    <t>EPA/625/4-87/018, September 1987, p. 25</t>
  </si>
  <si>
    <t>(ml)</t>
  </si>
  <si>
    <r>
      <t>start (t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)</t>
    </r>
  </si>
  <si>
    <r>
      <t>end (t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</si>
  <si>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Surface layer rate constant (k</t>
    </r>
    <r>
      <rPr>
        <vertAlign val="subscript"/>
        <sz val="11"/>
        <color theme="1"/>
        <rFont val="Calibri"/>
        <family val="2"/>
        <scheme val="minor"/>
      </rPr>
      <t>Sref</t>
    </r>
    <r>
      <rPr>
        <sz val="11"/>
        <color theme="1"/>
        <rFont val="Calibri"/>
        <family val="2"/>
        <scheme val="minor"/>
      </rPr>
      <t>)</t>
    </r>
  </si>
  <si>
    <t>available online at</t>
  </si>
  <si>
    <r>
      <t>Plating tank (V</t>
    </r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)</t>
    </r>
  </si>
  <si>
    <r>
      <t>Initial volume, bulk (V</t>
    </r>
    <r>
      <rPr>
        <vertAlign val="subscript"/>
        <sz val="11"/>
        <color theme="1"/>
        <rFont val="Calibri"/>
        <family val="2"/>
        <scheme val="minor"/>
      </rPr>
      <t>Bref</t>
    </r>
    <r>
      <rPr>
        <sz val="11"/>
        <color theme="1"/>
        <rFont val="Calibri"/>
        <family val="2"/>
        <scheme val="minor"/>
      </rPr>
      <t>)</t>
    </r>
  </si>
  <si>
    <r>
      <t>ml/ft</t>
    </r>
    <r>
      <rPr>
        <vertAlign val="superscript"/>
        <sz val="11"/>
        <color theme="1"/>
        <rFont val="Calibri"/>
        <family val="2"/>
        <scheme val="minor"/>
      </rPr>
      <t>3</t>
    </r>
  </si>
  <si>
    <t>https://nepis.epa.gov/Exe/ZyPDF.cgi/300048GM.PDF?Dockey=300048GM.PDF</t>
  </si>
  <si>
    <r>
      <t>Rinse tank (V</t>
    </r>
    <r>
      <rPr>
        <vertAlign val="sub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)</t>
    </r>
  </si>
  <si>
    <r>
      <t>Initial volume, surface layer (V</t>
    </r>
    <r>
      <rPr>
        <vertAlign val="subscript"/>
        <sz val="11"/>
        <color theme="1"/>
        <rFont val="Calibri"/>
        <family val="2"/>
        <scheme val="minor"/>
      </rPr>
      <t>Sref</t>
    </r>
    <r>
      <rPr>
        <sz val="11"/>
        <color theme="1"/>
        <rFont val="Calibri"/>
        <family val="2"/>
        <scheme val="minor"/>
      </rPr>
      <t>)</t>
    </r>
  </si>
  <si>
    <t>Results:</t>
  </si>
  <si>
    <t>Calculated parameters</t>
  </si>
  <si>
    <t>Time from lift</t>
  </si>
  <si>
    <t>Drip volume</t>
  </si>
  <si>
    <t xml:space="preserve"> (sec)</t>
  </si>
  <si>
    <t>Calculation method:</t>
  </si>
  <si>
    <t>Assume that the ratio of bulk to surface rate constants, and the ratio of initial volumes, are the same values as those for the reference solution.</t>
  </si>
  <si>
    <r>
      <t>Reference rate constant ratio = K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/K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=</t>
    </r>
  </si>
  <si>
    <r>
      <t>Reference initial volume ratio = V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/V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=</t>
    </r>
  </si>
  <si>
    <t>The following uses the "bent sheet" (intermediate case) parameters to form the reference ratios used in the calculation.</t>
  </si>
  <si>
    <t>Use the model equation to relate the measured sample volumes to the (as yet unknown) model parameters.</t>
  </si>
  <si>
    <t>Model equation:</t>
  </si>
  <si>
    <t>The form of the model equation for the amount collected between the start and stop sampling times can be written schematically as:</t>
  </si>
  <si>
    <r>
      <t>Plating tank drip volume from time t</t>
    </r>
    <r>
      <rPr>
        <vertAlign val="subscript"/>
        <sz val="11"/>
        <color theme="1"/>
        <rFont val="Calibri"/>
        <family val="2"/>
        <scheme val="minor"/>
      </rPr>
      <t>P1</t>
    </r>
    <r>
      <rPr>
        <sz val="11"/>
        <color theme="1"/>
        <rFont val="Calibri"/>
        <family val="2"/>
        <scheme val="minor"/>
      </rPr>
      <t xml:space="preserve"> to t</t>
    </r>
    <r>
      <rPr>
        <vertAlign val="subscript"/>
        <sz val="11"/>
        <color theme="1"/>
        <rFont val="Calibri"/>
        <family val="2"/>
        <scheme val="minor"/>
      </rPr>
      <t>P2</t>
    </r>
    <r>
      <rPr>
        <sz val="11"/>
        <color theme="1"/>
        <rFont val="Calibri"/>
        <family val="2"/>
        <scheme val="minor"/>
      </rPr>
      <t xml:space="preserve"> = V</t>
    </r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 xml:space="preserve"> =</t>
    </r>
  </si>
  <si>
    <r>
      <t>Rinse tank drip volume from time t</t>
    </r>
    <r>
      <rPr>
        <vertAlign val="subscript"/>
        <sz val="11"/>
        <color theme="1"/>
        <rFont val="Calibri"/>
        <family val="2"/>
        <scheme val="minor"/>
      </rPr>
      <t>R1</t>
    </r>
    <r>
      <rPr>
        <sz val="11"/>
        <color theme="1"/>
        <rFont val="Calibri"/>
        <family val="2"/>
        <scheme val="minor"/>
      </rPr>
      <t xml:space="preserve"> to t</t>
    </r>
    <r>
      <rPr>
        <vertAlign val="subscript"/>
        <sz val="11"/>
        <color theme="1"/>
        <rFont val="Calibri"/>
        <family val="2"/>
        <scheme val="minor"/>
      </rPr>
      <t>R2</t>
    </r>
    <r>
      <rPr>
        <sz val="11"/>
        <color theme="1"/>
        <rFont val="Calibri"/>
        <family val="2"/>
        <scheme val="minor"/>
      </rPr>
      <t xml:space="preserve"> = V</t>
    </r>
    <r>
      <rPr>
        <vertAlign val="sub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 xml:space="preserve"> =</t>
    </r>
  </si>
  <si>
    <r>
      <t>V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=</t>
    </r>
  </si>
  <si>
    <r>
      <t>V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=</t>
    </r>
  </si>
  <si>
    <r>
      <t>(D * V</t>
    </r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 xml:space="preserve"> - B * V</t>
    </r>
    <r>
      <rPr>
        <vertAlign val="sub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) / (A * D - B * C)</t>
    </r>
  </si>
  <si>
    <t>Reference ratio for initial volumes:</t>
  </si>
  <si>
    <t>Find the value of the rate constant in the table giving the value of volume ratios that most closely matches the reference ratio.</t>
  </si>
  <si>
    <r>
      <t>k</t>
    </r>
    <r>
      <rPr>
        <vertAlign val="subscript"/>
        <sz val="11"/>
        <color theme="1"/>
        <rFont val="Calibri"/>
        <family val="2"/>
        <scheme val="minor"/>
      </rPr>
      <t>S</t>
    </r>
  </si>
  <si>
    <t>A</t>
  </si>
  <si>
    <t>B</t>
  </si>
  <si>
    <t>C</t>
  </si>
  <si>
    <t>D</t>
  </si>
  <si>
    <t>Use linear interpolation to find a closer approximation to the best value for the rate contant and the coefficients.</t>
  </si>
  <si>
    <t>Ratio of error to interval:</t>
  </si>
  <si>
    <t>Apply the ratio to the interval between the two closest rate constants to calculate the best linear approximation; do the same for the coefficients.</t>
  </si>
  <si>
    <t>Interval</t>
  </si>
  <si>
    <r>
      <t>k</t>
    </r>
    <r>
      <rPr>
        <vertAlign val="subscript"/>
        <sz val="11"/>
        <color theme="1"/>
        <rFont val="Calibri"/>
        <family val="2"/>
        <scheme val="minor"/>
      </rPr>
      <t>B</t>
    </r>
  </si>
  <si>
    <t>Substitute the rate constants into one of the inverted equations to find the initial volumes.</t>
  </si>
  <si>
    <t>Dragout reduction from additional plating time:</t>
  </si>
  <si>
    <t>Dragout reduction (%):</t>
  </si>
  <si>
    <t>Enter extra time (sec):</t>
  </si>
  <si>
    <t>Invert these equations to find the ratio of initial surface volume to initial bulk volume as a function of one of the rate constants and the known sample volumes.</t>
  </si>
  <si>
    <r>
      <t>- (C * V</t>
    </r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 xml:space="preserve"> - A * V</t>
    </r>
    <r>
      <rPr>
        <vertAlign val="sub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) / (D * V</t>
    </r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 xml:space="preserve"> - B * V</t>
    </r>
    <r>
      <rPr>
        <vertAlign val="sub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)</t>
    </r>
  </si>
  <si>
    <r>
      <t>- (C * V</t>
    </r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 xml:space="preserve"> - A * V</t>
    </r>
    <r>
      <rPr>
        <vertAlign val="sub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) / (A * D - B * C)</t>
    </r>
  </si>
  <si>
    <r>
      <t>A * V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+ B * V</t>
    </r>
    <r>
      <rPr>
        <vertAlign val="subscript"/>
        <sz val="11"/>
        <color theme="1"/>
        <rFont val="Calibri"/>
        <family val="2"/>
        <scheme val="minor"/>
      </rPr>
      <t>B</t>
    </r>
  </si>
  <si>
    <r>
      <t>C * V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+ D * V</t>
    </r>
    <r>
      <rPr>
        <vertAlign val="subscript"/>
        <sz val="11"/>
        <color theme="1"/>
        <rFont val="Calibri"/>
        <family val="2"/>
        <scheme val="minor"/>
      </rPr>
      <t>B</t>
    </r>
  </si>
  <si>
    <r>
      <t>V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/ V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=</t>
    </r>
  </si>
  <si>
    <r>
      <t>V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/ V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</t>
    </r>
  </si>
  <si>
    <t>The table below lists the values of the volume ratio for a range of values of the bulk rate constant</t>
  </si>
  <si>
    <t xml:space="preserve"> (the surface rate constant can be calculated from the assumed known ratio of rate constants)</t>
  </si>
  <si>
    <r>
      <t>Total drip volume at time t = (V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+ V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) -[V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*exp(-K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*t) + V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*exp(-K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*t)]</t>
    </r>
  </si>
  <si>
    <t>(see cell contents for formulas for A, B, C, D; they are differences of the exponentials in the model equation)</t>
  </si>
  <si>
    <t>Find the error between the (assumed known) volume ratio and the closest value from table, divided by the interval between the two closest values.</t>
  </si>
  <si>
    <t>This calculator estimates the savings in dragout that would be expected if the rack drain time over the plating tank were extended by a few seconds.</t>
  </si>
  <si>
    <t>For input data, the calculator needs two samples of the solution dripping from an automated rack, taken under actual process conditions.</t>
  </si>
  <si>
    <t xml:space="preserve">  One sample is collected while the rack is draining over the plating tank, the second over the first rinse tank.</t>
  </si>
  <si>
    <t xml:space="preserve">  In each case, the start and end time of sampling is recorded, in seconds measured from the time the bottom of the rack emerges from the plating tank.</t>
  </si>
  <si>
    <t xml:space="preserve">  The calculator will then display the expected percent of dragout reduction.</t>
  </si>
  <si>
    <t>To see the effect of extended drip time on dragout:</t>
  </si>
  <si>
    <t xml:space="preserve">  Enter the number of seconds of extra time, beyond the current drip time, that the rack will remain over the plating tank.</t>
  </si>
  <si>
    <t>(sec. from start)</t>
  </si>
  <si>
    <t>ml/ft3</t>
  </si>
  <si>
    <r>
      <t>Final volume, adherent layer (V</t>
    </r>
    <r>
      <rPr>
        <vertAlign val="subscript"/>
        <sz val="11"/>
        <color theme="1"/>
        <rFont val="Calibri"/>
        <family val="2"/>
        <scheme val="minor"/>
      </rPr>
      <t>end</t>
    </r>
    <r>
      <rPr>
        <sz val="11"/>
        <color theme="1"/>
        <rFont val="Calibri"/>
        <family val="2"/>
        <scheme val="minor"/>
      </rPr>
      <t>)</t>
    </r>
  </si>
  <si>
    <t>To provide a single overall dragout reduction percentage, divide amount still on rack after after extra drip time by amount still on rack after current drip time:</t>
  </si>
  <si>
    <t>Amount still on rack as a function of time is given by subtracting the amount in the table at the left (amount dripped off) from the starting volume of soultion on the rack.</t>
  </si>
  <si>
    <t xml:space="preserve">The starting volume on the rack is given by </t>
  </si>
  <si>
    <r>
      <t>V</t>
    </r>
    <r>
      <rPr>
        <vertAlign val="subscript"/>
        <sz val="11"/>
        <color theme="1"/>
        <rFont val="Calibri"/>
        <family val="2"/>
        <scheme val="minor"/>
      </rPr>
      <t>start, total</t>
    </r>
    <r>
      <rPr>
        <sz val="11"/>
        <color theme="1"/>
        <rFont val="Calibri"/>
        <family val="2"/>
        <scheme val="minor"/>
      </rPr>
      <t xml:space="preserve"> = V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+ V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+ V</t>
    </r>
    <r>
      <rPr>
        <vertAlign val="subscript"/>
        <sz val="11"/>
        <color theme="1"/>
        <rFont val="Calibri"/>
        <family val="2"/>
        <scheme val="minor"/>
      </rPr>
      <t>end</t>
    </r>
  </si>
  <si>
    <t>Assuming that this ratio stays approximately constant as viscosity changes, the volume of the adherent layer ("unavoidable" dragout) would  be given by</t>
  </si>
  <si>
    <t>In the EPA report, the ratio of Vend to total starting volume (volume at t = 0 on curve) is given by  R =</t>
  </si>
  <si>
    <t xml:space="preserve">  where the volumes all refer to those in the EPA report.</t>
  </si>
  <si>
    <t>Now let the volumes refer to those calculated for the current process.</t>
  </si>
  <si>
    <r>
      <t>Moving all V</t>
    </r>
    <r>
      <rPr>
        <vertAlign val="subscript"/>
        <sz val="11"/>
        <color theme="1"/>
        <rFont val="Calibri"/>
        <family val="2"/>
        <scheme val="minor"/>
      </rPr>
      <t>end</t>
    </r>
    <r>
      <rPr>
        <sz val="11"/>
        <color theme="1"/>
        <rFont val="Calibri"/>
        <family val="2"/>
        <scheme val="minor"/>
      </rPr>
      <t xml:space="preserve"> terms to the left,</t>
    </r>
  </si>
  <si>
    <r>
      <t>The adherent layer volume can be estimated by applying the same reasoning to the ratio V</t>
    </r>
    <r>
      <rPr>
        <vertAlign val="subscript"/>
        <sz val="11"/>
        <color theme="1"/>
        <rFont val="Calibri"/>
        <family val="2"/>
        <scheme val="minor"/>
      </rPr>
      <t>start,tota</t>
    </r>
    <r>
      <rPr>
        <sz val="11"/>
        <color theme="1"/>
        <rFont val="Calibri"/>
        <family val="2"/>
        <scheme val="minor"/>
      </rPr>
      <t>l/V</t>
    </r>
    <r>
      <rPr>
        <vertAlign val="subscript"/>
        <sz val="11"/>
        <color theme="1"/>
        <rFont val="Calibri"/>
        <family val="2"/>
        <scheme val="minor"/>
      </rPr>
      <t>end</t>
    </r>
    <r>
      <rPr>
        <sz val="11"/>
        <color theme="1"/>
        <rFont val="Calibri"/>
        <family val="2"/>
        <scheme val="minor"/>
      </rPr>
      <t xml:space="preserve"> as to V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/V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.</t>
    </r>
  </si>
  <si>
    <r>
      <t>V</t>
    </r>
    <r>
      <rPr>
        <vertAlign val="subscript"/>
        <sz val="11"/>
        <color theme="1"/>
        <rFont val="Calibri"/>
        <family val="2"/>
        <scheme val="minor"/>
      </rPr>
      <t>end</t>
    </r>
    <r>
      <rPr>
        <sz val="11"/>
        <color theme="1"/>
        <rFont val="Calibri"/>
        <family val="2"/>
        <scheme val="minor"/>
      </rPr>
      <t xml:space="preserve"> =</t>
    </r>
  </si>
  <si>
    <r>
      <t>(R / (1-R)) * (V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+ V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>)</t>
    </r>
  </si>
  <si>
    <r>
      <t>R * (V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+ V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+ V</t>
    </r>
    <r>
      <rPr>
        <vertAlign val="subscript"/>
        <sz val="11"/>
        <color theme="1"/>
        <rFont val="Calibri"/>
        <family val="2"/>
        <scheme val="minor"/>
      </rPr>
      <t>end</t>
    </r>
    <r>
      <rPr>
        <sz val="11"/>
        <color theme="1"/>
        <rFont val="Calibri"/>
        <family val="2"/>
        <scheme val="minor"/>
      </rPr>
      <t>)</t>
    </r>
  </si>
  <si>
    <t>Evaluating,</t>
  </si>
  <si>
    <t>The percentage reduction is then</t>
  </si>
  <si>
    <t>% dragout reduction =</t>
  </si>
  <si>
    <r>
      <t>(V(t + t</t>
    </r>
    <r>
      <rPr>
        <vertAlign val="subscript"/>
        <sz val="11"/>
        <color theme="1"/>
        <rFont val="Calibri"/>
        <family val="2"/>
        <scheme val="minor"/>
      </rPr>
      <t>extra</t>
    </r>
    <r>
      <rPr>
        <sz val="11"/>
        <color theme="1"/>
        <rFont val="Calibri"/>
        <family val="2"/>
        <scheme val="minor"/>
      </rPr>
      <t>) - V(t)) / (V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+ V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+ V</t>
    </r>
    <r>
      <rPr>
        <vertAlign val="subscript"/>
        <sz val="11"/>
        <color theme="1"/>
        <rFont val="Calibri"/>
        <family val="2"/>
        <scheme val="minor"/>
      </rPr>
      <t>end</t>
    </r>
    <r>
      <rPr>
        <sz val="11"/>
        <color theme="1"/>
        <rFont val="Calibri"/>
        <family val="2"/>
        <scheme val="minor"/>
      </rPr>
      <t xml:space="preserve"> - V(t)) * 100%</t>
    </r>
  </si>
  <si>
    <t>Dragout</t>
  </si>
  <si>
    <t xml:space="preserve">  to calculate the total volume of the dragout from the rack.</t>
  </si>
  <si>
    <t>If the sample was taken from a fraction of the full length of the rack, divide by that fraction</t>
  </si>
  <si>
    <t>The volumes in this chart are scaled to the volume of the sample.</t>
  </si>
  <si>
    <t>The percent reduction value does not depend on scaling, as long as the sample is representative of the full rack.</t>
  </si>
  <si>
    <t xml:space="preserve">  as well as the amount remaining on the rack (dragout).  The graph to the right of the table shows the drip volume and dragout plotted vs. drip time.</t>
  </si>
  <si>
    <t>The righthand columns show the calculation in detail.</t>
  </si>
  <si>
    <t>For additional information on the model and the calculation, see http://www.sterc.org/subs/rinsemanD.php.</t>
  </si>
  <si>
    <t>For a full overview, the table on the left shows the cumulative amount of plating solution that will have dripped from the rack after each second of dripping (drip volume),</t>
  </si>
  <si>
    <t>Rows in the table that correspond to sample times are indicated by a contrasting background color.</t>
  </si>
  <si>
    <t xml:space="preserve">  The difference between the volumes given in the table for the start and end times of any sample</t>
  </si>
  <si>
    <t>For either of the curves (drip volume or dragout), users can verify that the estimate is consistent with the input data:</t>
  </si>
  <si>
    <t xml:space="preserve">  should equal the collected volume entered as the input value for that sample.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</si>
</sst>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000"/>
    <numFmt numFmtId="165" formatCode="0.0"/>
    <numFmt numFmtId="166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9">
    <xf numFmtId="0" fontId="0" fillId="0" borderId="0" xfId="0"/>
    <xf numFmtId="0" fontId="3" fillId="0" borderId="0" xfId="0" applyFont="1"/>
    <xf numFmtId="0" fontId="3" fillId="3" borderId="4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7" xfId="0" applyFill="1" applyBorder="1" applyAlignment="1">
      <alignment horizontal="right"/>
    </xf>
    <xf numFmtId="0" fontId="4" fillId="3" borderId="2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10" xfId="0" applyFill="1" applyBorder="1" applyAlignment="1">
      <alignment horizontal="right" vertical="center"/>
    </xf>
    <xf numFmtId="0" fontId="0" fillId="3" borderId="11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0" fillId="3" borderId="9" xfId="0" applyFill="1" applyBorder="1" applyAlignment="1">
      <alignment horizontal="center" vertical="center"/>
    </xf>
    <xf numFmtId="0" fontId="0" fillId="3" borderId="14" xfId="0" applyFill="1" applyBorder="1"/>
    <xf numFmtId="0" fontId="0" fillId="3" borderId="0" xfId="0" applyFill="1"/>
    <xf numFmtId="0" fontId="0" fillId="3" borderId="15" xfId="0" applyFill="1" applyBorder="1"/>
    <xf numFmtId="0" fontId="0" fillId="2" borderId="16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3" borderId="17" xfId="0" applyFill="1" applyBorder="1" applyAlignment="1">
      <alignment horizontal="right" vertical="center"/>
    </xf>
    <xf numFmtId="0" fontId="0" fillId="3" borderId="18" xfId="0" applyFill="1" applyBorder="1" applyAlignment="1">
      <alignment vertical="center"/>
    </xf>
    <xf numFmtId="0" fontId="0" fillId="3" borderId="19" xfId="0" applyFill="1" applyBorder="1" applyAlignment="1">
      <alignment vertical="center"/>
    </xf>
    <xf numFmtId="0" fontId="0" fillId="3" borderId="20" xfId="0" applyFill="1" applyBorder="1" applyAlignment="1">
      <alignment vertical="center"/>
    </xf>
    <xf numFmtId="0" fontId="0" fillId="3" borderId="21" xfId="0" applyFill="1" applyBorder="1" applyAlignment="1">
      <alignment horizontal="center" vertical="center"/>
    </xf>
    <xf numFmtId="0" fontId="0" fillId="2" borderId="11" xfId="0" applyFill="1" applyBorder="1" applyAlignment="1">
      <alignment horizontal="right"/>
    </xf>
    <xf numFmtId="0" fontId="0" fillId="0" borderId="22" xfId="0" applyBorder="1"/>
    <xf numFmtId="0" fontId="0" fillId="0" borderId="13" xfId="0" applyBorder="1"/>
    <xf numFmtId="0" fontId="0" fillId="0" borderId="23" xfId="0" applyBorder="1"/>
    <xf numFmtId="0" fontId="0" fillId="0" borderId="24" xfId="0" applyBorder="1"/>
    <xf numFmtId="0" fontId="0" fillId="3" borderId="25" xfId="0" applyFill="1" applyBorder="1" applyAlignment="1">
      <alignment horizontal="right" vertical="center"/>
    </xf>
    <xf numFmtId="0" fontId="0" fillId="3" borderId="26" xfId="0" applyFill="1" applyBorder="1" applyAlignment="1">
      <alignment vertical="center"/>
    </xf>
    <xf numFmtId="0" fontId="0" fillId="3" borderId="24" xfId="0" applyFill="1" applyBorder="1" applyAlignment="1">
      <alignment vertical="center"/>
    </xf>
    <xf numFmtId="0" fontId="0" fillId="3" borderId="27" xfId="0" applyFill="1" applyBorder="1" applyAlignment="1">
      <alignment horizontal="center"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0" fontId="3" fillId="2" borderId="4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0" xfId="0" applyFill="1" applyBorder="1" applyAlignment="1">
      <alignment horizontal="right" vertical="center"/>
    </xf>
    <xf numFmtId="164" fontId="0" fillId="4" borderId="11" xfId="0" applyNumberFormat="1" applyFill="1" applyBorder="1" applyAlignment="1">
      <alignment vertical="center"/>
    </xf>
    <xf numFmtId="0" fontId="0" fillId="4" borderId="9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/>
    </xf>
    <xf numFmtId="0" fontId="0" fillId="2" borderId="17" xfId="0" applyFill="1" applyBorder="1" applyAlignment="1">
      <alignment horizontal="right" vertical="center"/>
    </xf>
    <xf numFmtId="164" fontId="0" fillId="4" borderId="18" xfId="0" applyNumberFormat="1" applyFill="1" applyBorder="1" applyAlignment="1">
      <alignment vertical="center"/>
    </xf>
    <xf numFmtId="0" fontId="0" fillId="4" borderId="21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165" fontId="0" fillId="4" borderId="18" xfId="0" applyNumberFormat="1" applyFill="1" applyBorder="1" applyAlignment="1">
      <alignment vertical="center"/>
    </xf>
    <xf numFmtId="0" fontId="0" fillId="4" borderId="31" xfId="0" applyFill="1" applyBorder="1"/>
    <xf numFmtId="165" fontId="0" fillId="4" borderId="32" xfId="0" applyNumberFormat="1" applyFill="1" applyBorder="1"/>
    <xf numFmtId="0" fontId="0" fillId="2" borderId="25" xfId="0" applyFill="1" applyBorder="1" applyAlignment="1">
      <alignment horizontal="right" vertical="center"/>
    </xf>
    <xf numFmtId="165" fontId="0" fillId="4" borderId="26" xfId="0" applyNumberFormat="1" applyFill="1" applyBorder="1" applyAlignment="1">
      <alignment vertical="center"/>
    </xf>
    <xf numFmtId="0" fontId="0" fillId="4" borderId="27" xfId="0" applyFill="1" applyBorder="1" applyAlignment="1">
      <alignment horizontal="center" vertical="center"/>
    </xf>
    <xf numFmtId="0" fontId="0" fillId="4" borderId="18" xfId="0" applyFill="1" applyBorder="1"/>
    <xf numFmtId="0" fontId="0" fillId="2" borderId="33" xfId="0" applyFill="1" applyBorder="1"/>
    <xf numFmtId="0" fontId="0" fillId="2" borderId="22" xfId="0" applyFill="1" applyBorder="1"/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8" xfId="0" applyFill="1" applyBorder="1"/>
    <xf numFmtId="0" fontId="0" fillId="2" borderId="19" xfId="0" applyFill="1" applyBorder="1" applyAlignment="1">
      <alignment horizontal="right"/>
    </xf>
    <xf numFmtId="2" fontId="0" fillId="3" borderId="19" xfId="0" applyNumberFormat="1" applyFill="1" applyBorder="1"/>
    <xf numFmtId="2" fontId="0" fillId="3" borderId="20" xfId="0" applyNumberFormat="1" applyFill="1" applyBorder="1"/>
    <xf numFmtId="0" fontId="0" fillId="2" borderId="25" xfId="0" applyFill="1" applyBorder="1"/>
    <xf numFmtId="0" fontId="0" fillId="2" borderId="23" xfId="0" applyFill="1" applyBorder="1" applyAlignment="1">
      <alignment horizontal="right"/>
    </xf>
    <xf numFmtId="2" fontId="0" fillId="3" borderId="16" xfId="0" applyNumberFormat="1" applyFill="1" applyBorder="1"/>
    <xf numFmtId="2" fontId="0" fillId="3" borderId="24" xfId="0" applyNumberFormat="1" applyFill="1" applyBorder="1"/>
    <xf numFmtId="0" fontId="0" fillId="0" borderId="0" xfId="0" applyAlignment="1">
      <alignment horizontal="left"/>
    </xf>
    <xf numFmtId="165" fontId="0" fillId="0" borderId="0" xfId="0" applyNumberFormat="1"/>
    <xf numFmtId="0" fontId="0" fillId="0" borderId="0" xfId="0" applyAlignment="1">
      <alignment horizontal="right"/>
    </xf>
    <xf numFmtId="165" fontId="0" fillId="0" borderId="34" xfId="0" applyNumberFormat="1" applyBorder="1"/>
    <xf numFmtId="165" fontId="0" fillId="0" borderId="35" xfId="0" applyNumberFormat="1" applyBorder="1"/>
    <xf numFmtId="0" fontId="0" fillId="0" borderId="35" xfId="0" applyBorder="1"/>
    <xf numFmtId="0" fontId="0" fillId="0" borderId="36" xfId="0" applyBorder="1"/>
    <xf numFmtId="0" fontId="0" fillId="0" borderId="0" xfId="0" quotePrefix="1"/>
    <xf numFmtId="2" fontId="0" fillId="4" borderId="4" xfId="0" quotePrefix="1" applyNumberFormat="1" applyFill="1" applyBorder="1"/>
    <xf numFmtId="0" fontId="0" fillId="2" borderId="37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0" borderId="31" xfId="0" applyBorder="1"/>
    <xf numFmtId="164" fontId="0" fillId="0" borderId="40" xfId="0" applyNumberFormat="1" applyBorder="1"/>
    <xf numFmtId="0" fontId="0" fillId="0" borderId="32" xfId="0" applyBorder="1"/>
    <xf numFmtId="0" fontId="0" fillId="0" borderId="18" xfId="0" applyBorder="1"/>
    <xf numFmtId="164" fontId="0" fillId="0" borderId="19" xfId="0" applyNumberFormat="1" applyBorder="1"/>
    <xf numFmtId="0" fontId="0" fillId="0" borderId="20" xfId="0" applyBorder="1"/>
    <xf numFmtId="2" fontId="0" fillId="0" borderId="0" xfId="0" applyNumberFormat="1"/>
    <xf numFmtId="166" fontId="0" fillId="0" borderId="0" xfId="0" quotePrefix="1" applyNumberFormat="1"/>
    <xf numFmtId="0" fontId="0" fillId="0" borderId="26" xfId="0" applyBorder="1"/>
    <xf numFmtId="164" fontId="0" fillId="0" borderId="16" xfId="0" applyNumberFormat="1" applyBorder="1"/>
    <xf numFmtId="164" fontId="0" fillId="0" borderId="0" xfId="0" applyNumberFormat="1"/>
    <xf numFmtId="0" fontId="0" fillId="4" borderId="26" xfId="0" applyFill="1" applyBorder="1"/>
    <xf numFmtId="165" fontId="0" fillId="4" borderId="24" xfId="0" applyNumberFormat="1" applyFill="1" applyBorder="1"/>
    <xf numFmtId="0" fontId="0" fillId="4" borderId="43" xfId="0" applyFill="1" applyBorder="1"/>
    <xf numFmtId="164" fontId="0" fillId="4" borderId="23" xfId="0" applyNumberFormat="1" applyFill="1" applyBorder="1"/>
    <xf numFmtId="164" fontId="0" fillId="4" borderId="16" xfId="0" applyNumberFormat="1" applyFill="1" applyBorder="1"/>
    <xf numFmtId="164" fontId="0" fillId="4" borderId="24" xfId="0" applyNumberFormat="1" applyFill="1" applyBorder="1"/>
    <xf numFmtId="0" fontId="0" fillId="2" borderId="44" xfId="0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164" fontId="0" fillId="4" borderId="46" xfId="0" applyNumberFormat="1" applyFill="1" applyBorder="1"/>
    <xf numFmtId="0" fontId="0" fillId="2" borderId="47" xfId="0" applyFill="1" applyBorder="1" applyAlignment="1">
      <alignment horizontal="center"/>
    </xf>
    <xf numFmtId="165" fontId="0" fillId="4" borderId="13" xfId="0" applyNumberFormat="1" applyFill="1" applyBorder="1"/>
    <xf numFmtId="0" fontId="0" fillId="2" borderId="26" xfId="0" applyFill="1" applyBorder="1" applyAlignment="1">
      <alignment horizontal="right"/>
    </xf>
    <xf numFmtId="0" fontId="0" fillId="0" borderId="7" xfId="0" applyBorder="1"/>
    <xf numFmtId="0" fontId="0" fillId="0" borderId="2" xfId="0" applyBorder="1"/>
    <xf numFmtId="0" fontId="0" fillId="0" borderId="3" xfId="0" applyBorder="1"/>
    <xf numFmtId="0" fontId="0" fillId="0" borderId="14" xfId="0" applyBorder="1"/>
    <xf numFmtId="0" fontId="0" fillId="0" borderId="0" xfId="0" applyBorder="1"/>
    <xf numFmtId="0" fontId="0" fillId="0" borderId="28" xfId="0" applyBorder="1"/>
    <xf numFmtId="0" fontId="0" fillId="0" borderId="29" xfId="0" applyBorder="1"/>
    <xf numFmtId="0" fontId="0" fillId="0" borderId="0" xfId="0" applyFill="1" applyBorder="1"/>
    <xf numFmtId="0" fontId="0" fillId="2" borderId="11" xfId="0" applyFill="1" applyBorder="1"/>
    <xf numFmtId="0" fontId="0" fillId="2" borderId="26" xfId="0" applyFill="1" applyBorder="1"/>
    <xf numFmtId="0" fontId="0" fillId="2" borderId="48" xfId="0" applyFill="1" applyBorder="1" applyAlignment="1">
      <alignment horizontal="center"/>
    </xf>
    <xf numFmtId="0" fontId="0" fillId="2" borderId="47" xfId="0" applyFill="1" applyBorder="1" applyAlignment="1">
      <alignment horizontal="right"/>
    </xf>
    <xf numFmtId="0" fontId="0" fillId="2" borderId="46" xfId="0" applyFill="1" applyBorder="1" applyAlignment="1">
      <alignment horizontal="right"/>
    </xf>
    <xf numFmtId="0" fontId="0" fillId="0" borderId="42" xfId="0" applyBorder="1"/>
    <xf numFmtId="0" fontId="0" fillId="2" borderId="13" xfId="0" applyFont="1" applyFill="1" applyBorder="1" applyAlignment="1">
      <alignment horizontal="right"/>
    </xf>
    <xf numFmtId="0" fontId="0" fillId="2" borderId="24" xfId="0" applyFont="1" applyFill="1" applyBorder="1" applyAlignment="1">
      <alignment horizontal="right"/>
    </xf>
    <xf numFmtId="9" fontId="0" fillId="0" borderId="0" xfId="1" applyFont="1"/>
    <xf numFmtId="9" fontId="3" fillId="5" borderId="27" xfId="1" applyFont="1" applyFill="1" applyBorder="1"/>
    <xf numFmtId="0" fontId="2" fillId="0" borderId="0" xfId="0" applyFont="1"/>
    <xf numFmtId="0" fontId="0" fillId="0" borderId="15" xfId="0" applyFill="1" applyBorder="1"/>
    <xf numFmtId="0" fontId="0" fillId="0" borderId="30" xfId="0" applyFill="1" applyBorder="1"/>
    <xf numFmtId="0" fontId="3" fillId="0" borderId="2" xfId="0" applyFont="1" applyBorder="1"/>
    <xf numFmtId="0" fontId="0" fillId="2" borderId="37" xfId="0" applyFill="1" applyBorder="1" applyAlignment="1">
      <alignment horizontal="right"/>
    </xf>
    <xf numFmtId="0" fontId="0" fillId="4" borderId="39" xfId="0" applyFill="1" applyBorder="1"/>
    <xf numFmtId="0" fontId="0" fillId="3" borderId="51" xfId="0" applyFill="1" applyBorder="1" applyAlignment="1">
      <alignment horizontal="right" vertical="center"/>
    </xf>
    <xf numFmtId="0" fontId="0" fillId="3" borderId="55" xfId="0" applyFill="1" applyBorder="1" applyAlignment="1">
      <alignment horizontal="center" vertical="center"/>
    </xf>
    <xf numFmtId="165" fontId="0" fillId="3" borderId="16" xfId="0" applyNumberFormat="1" applyFill="1" applyBorder="1" applyAlignment="1">
      <alignment vertical="center"/>
    </xf>
    <xf numFmtId="165" fontId="0" fillId="3" borderId="18" xfId="0" applyNumberFormat="1" applyFill="1" applyBorder="1" applyAlignment="1">
      <alignment vertical="center"/>
    </xf>
    <xf numFmtId="165" fontId="0" fillId="3" borderId="19" xfId="0" applyNumberFormat="1" applyFill="1" applyBorder="1" applyAlignment="1">
      <alignment vertical="center"/>
    </xf>
    <xf numFmtId="165" fontId="0" fillId="3" borderId="20" xfId="0" applyNumberFormat="1" applyFill="1" applyBorder="1" applyAlignment="1">
      <alignment vertical="center"/>
    </xf>
    <xf numFmtId="165" fontId="0" fillId="3" borderId="52" xfId="0" applyNumberFormat="1" applyFill="1" applyBorder="1" applyAlignment="1">
      <alignment vertical="center"/>
    </xf>
    <xf numFmtId="165" fontId="0" fillId="3" borderId="53" xfId="0" applyNumberFormat="1" applyFill="1" applyBorder="1" applyAlignment="1">
      <alignment vertical="center"/>
    </xf>
    <xf numFmtId="165" fontId="0" fillId="3" borderId="54" xfId="0" applyNumberFormat="1" applyFill="1" applyBorder="1" applyAlignment="1">
      <alignment vertical="center"/>
    </xf>
    <xf numFmtId="43" fontId="0" fillId="3" borderId="4" xfId="2" applyFont="1" applyFill="1" applyBorder="1"/>
    <xf numFmtId="0" fontId="0" fillId="4" borderId="36" xfId="0" applyFill="1" applyBorder="1" applyAlignment="1">
      <alignment horizontal="center" vertical="center"/>
    </xf>
    <xf numFmtId="165" fontId="0" fillId="4" borderId="38" xfId="0" applyNumberFormat="1" applyFill="1" applyBorder="1"/>
    <xf numFmtId="0" fontId="0" fillId="2" borderId="34" xfId="0" applyFill="1" applyBorder="1"/>
    <xf numFmtId="0" fontId="0" fillId="2" borderId="35" xfId="0" applyFill="1" applyBorder="1"/>
    <xf numFmtId="0" fontId="0" fillId="2" borderId="36" xfId="0" applyFill="1" applyBorder="1"/>
    <xf numFmtId="165" fontId="0" fillId="4" borderId="40" xfId="0" applyNumberFormat="1" applyFill="1" applyBorder="1"/>
    <xf numFmtId="165" fontId="0" fillId="4" borderId="19" xfId="0" applyNumberFormat="1" applyFill="1" applyBorder="1"/>
    <xf numFmtId="165" fontId="0" fillId="4" borderId="16" xfId="0" applyNumberFormat="1" applyFill="1" applyBorder="1"/>
    <xf numFmtId="165" fontId="0" fillId="4" borderId="56" xfId="0" applyNumberFormat="1" applyFill="1" applyBorder="1"/>
    <xf numFmtId="0" fontId="0" fillId="2" borderId="49" xfId="0" applyFill="1" applyBorder="1" applyAlignment="1">
      <alignment horizontal="center" vertical="center" wrapText="1"/>
    </xf>
    <xf numFmtId="0" fontId="0" fillId="2" borderId="50" xfId="0" applyFill="1" applyBorder="1" applyAlignment="1">
      <alignment horizontal="center" vertical="center" wrapText="1"/>
    </xf>
    <xf numFmtId="0" fontId="0" fillId="2" borderId="46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2" borderId="42" xfId="0" applyFill="1" applyBorder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6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Drip volume and dragout vs. drip time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664260717410324E-2"/>
          <c:y val="0.10819719953325556"/>
          <c:w val="0.8585579615048119"/>
          <c:h val="0.7573996912871305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Sheet1!$D$34:$D$35</c:f>
              <c:strCache>
                <c:ptCount val="2"/>
                <c:pt idx="0">
                  <c:v>Drip volume</c:v>
                </c:pt>
                <c:pt idx="1">
                  <c:v>(ml)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elete val="1"/>
          </c:dLbls>
          <c:xVal>
            <c:numRef>
              <c:f>Sheet1!$C$36:$C$96</c:f>
              <c:numCache>
                <c:formatCode>General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xVal>
          <c:yVal>
            <c:numRef>
              <c:f>Sheet1!$D$36:$D$96</c:f>
              <c:numCache>
                <c:formatCode>0.0</c:formatCode>
                <c:ptCount val="61"/>
                <c:pt idx="0">
                  <c:v>0</c:v>
                </c:pt>
                <c:pt idx="1">
                  <c:v>13.661955646350464</c:v>
                </c:pt>
                <c:pt idx="2">
                  <c:v>26.236800216948183</c:v>
                </c:pt>
                <c:pt idx="3">
                  <c:v>37.822596944123916</c:v>
                </c:pt>
                <c:pt idx="4">
                  <c:v>48.508223280867838</c:v>
                </c:pt>
                <c:pt idx="5">
                  <c:v>58.374240170275044</c:v>
                </c:pt>
                <c:pt idx="6">
                  <c:v>67.493678833891437</c:v>
                </c:pt>
                <c:pt idx="7">
                  <c:v>75.932752910671979</c:v>
                </c:pt>
                <c:pt idx="8">
                  <c:v>83.751503034494561</c:v>
                </c:pt>
                <c:pt idx="9">
                  <c:v>91.004380265044432</c:v>
                </c:pt>
                <c:pt idx="10">
                  <c:v>97.740774177681885</c:v>
                </c:pt>
                <c:pt idx="11">
                  <c:v>104.00549086656397</c:v>
                </c:pt>
                <c:pt idx="12">
                  <c:v>109.83918561631026</c:v>
                </c:pt>
                <c:pt idx="13">
                  <c:v>115.27875454591077</c:v>
                </c:pt>
                <c:pt idx="14">
                  <c:v>120.3576891198739</c:v>
                </c:pt>
                <c:pt idx="15">
                  <c:v>125.10639705172338</c:v>
                </c:pt>
                <c:pt idx="16">
                  <c:v>129.55249279019642</c:v>
                </c:pt>
                <c:pt idx="17">
                  <c:v>133.72106047552984</c:v>
                </c:pt>
                <c:pt idx="18">
                  <c:v>137.63489197902851</c:v>
                </c:pt>
                <c:pt idx="19">
                  <c:v>141.31470239095864</c:v>
                </c:pt>
                <c:pt idx="20">
                  <c:v>144.77932509722501</c:v>
                </c:pt>
                <c:pt idx="21">
                  <c:v>148.04588838203358</c:v>
                </c:pt>
                <c:pt idx="22">
                  <c:v>151.1299753097914</c:v>
                </c:pt>
                <c:pt idx="23">
                  <c:v>154.04576847301161</c:v>
                </c:pt>
                <c:pt idx="24">
                  <c:v>156.80618104232067</c:v>
                </c:pt>
                <c:pt idx="25">
                  <c:v>159.422975418303</c:v>
                </c:pt>
                <c:pt idx="26">
                  <c:v>161.90687066150548</c:v>
                </c:pt>
                <c:pt idx="27">
                  <c:v>164.26763976523381</c:v>
                </c:pt>
                <c:pt idx="28">
                  <c:v>166.51419773468672</c:v>
                </c:pt>
                <c:pt idx="29">
                  <c:v>168.65468134449083</c:v>
                </c:pt>
                <c:pt idx="30">
                  <c:v>170.69652136390056</c:v>
                </c:pt>
                <c:pt idx="31">
                  <c:v>172.64650796399559</c:v>
                </c:pt>
                <c:pt idx="32">
                  <c:v>174.51084995338942</c:v>
                </c:pt>
                <c:pt idx="33">
                  <c:v>176.29522842758553</c:v>
                </c:pt>
                <c:pt idx="34">
                  <c:v>178.00484536156961</c:v>
                </c:pt>
                <c:pt idx="35">
                  <c:v>179.64446762495228</c:v>
                </c:pt>
                <c:pt idx="36">
                  <c:v>181.21846685347774</c:v>
                </c:pt>
                <c:pt idx="37">
                  <c:v>182.73085556953436</c:v>
                </c:pt>
                <c:pt idx="38">
                  <c:v>184.18531990703622</c:v>
                </c:pt>
                <c:pt idx="39">
                  <c:v>185.58524926231419</c:v>
                </c:pt>
                <c:pt idx="40">
                  <c:v>186.93376316212903</c:v>
                </c:pt>
                <c:pt idx="41">
                  <c:v>188.2337356122917</c:v>
                </c:pt>
                <c:pt idx="42">
                  <c:v>189.48781716537155</c:v>
                </c:pt>
                <c:pt idx="43">
                  <c:v>190.69845492334284</c:v>
                </c:pt>
                <c:pt idx="44">
                  <c:v>191.86791067053912</c:v>
                </c:pt>
                <c:pt idx="45">
                  <c:v>192.99827731374882</c:v>
                </c:pt>
                <c:pt idx="46">
                  <c:v>194.09149378950826</c:v>
                </c:pt>
                <c:pt idx="47">
                  <c:v>195.14935858346533</c:v>
                </c:pt>
                <c:pt idx="48">
                  <c:v>196.17354199294493</c:v>
                </c:pt>
                <c:pt idx="49">
                  <c:v>197.16559725141013</c:v>
                </c:pt>
                <c:pt idx="50">
                  <c:v>198.12697062225649</c:v>
                </c:pt>
                <c:pt idx="51">
                  <c:v>199.05901055918937</c:v>
                </c:pt>
                <c:pt idx="52">
                  <c:v>199.96297602121325</c:v>
                </c:pt>
                <c:pt idx="53">
                  <c:v>200.84004402191746</c:v>
                </c:pt>
                <c:pt idx="54">
                  <c:v>201.69131648518857</c:v>
                </c:pt>
                <c:pt idx="55">
                  <c:v>202.51782647264503</c:v>
                </c:pt>
                <c:pt idx="56">
                  <c:v>203.32054384190144</c:v>
                </c:pt>
                <c:pt idx="57">
                  <c:v>204.10038038917031</c:v>
                </c:pt>
                <c:pt idx="58">
                  <c:v>204.85819452464108</c:v>
                </c:pt>
                <c:pt idx="59">
                  <c:v>205.59479552448818</c:v>
                </c:pt>
                <c:pt idx="60">
                  <c:v>206.31094739920871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65C-40C3-92B5-3CDC54B8481C}"/>
            </c:ext>
          </c:extLst>
        </c:ser>
        <c:ser>
          <c:idx val="1"/>
          <c:order val="1"/>
          <c:tx>
            <c:strRef>
              <c:f>Sheet1!$E$34:$E$35</c:f>
              <c:strCache>
                <c:ptCount val="2"/>
                <c:pt idx="0">
                  <c:v>Dragout</c:v>
                </c:pt>
                <c:pt idx="1">
                  <c:v>(ml)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dLbls>
            <c:delete val="1"/>
          </c:dLbls>
          <c:xVal>
            <c:numRef>
              <c:f>Sheet1!$C$36:$C$96</c:f>
              <c:numCache>
                <c:formatCode>General</c:formatCode>
                <c:ptCount val="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</c:numCache>
            </c:numRef>
          </c:xVal>
          <c:yVal>
            <c:numRef>
              <c:f>Sheet1!$E$36:$E$96</c:f>
              <c:numCache>
                <c:formatCode>0.0</c:formatCode>
                <c:ptCount val="61"/>
                <c:pt idx="0">
                  <c:v>300.56225164711401</c:v>
                </c:pt>
                <c:pt idx="1">
                  <c:v>286.90029600076355</c:v>
                </c:pt>
                <c:pt idx="2">
                  <c:v>274.3254514301658</c:v>
                </c:pt>
                <c:pt idx="3">
                  <c:v>262.73965470299009</c:v>
                </c:pt>
                <c:pt idx="4">
                  <c:v>252.05402836624617</c:v>
                </c:pt>
                <c:pt idx="5">
                  <c:v>242.18801147683897</c:v>
                </c:pt>
                <c:pt idx="6">
                  <c:v>233.06857281322257</c:v>
                </c:pt>
                <c:pt idx="7">
                  <c:v>224.62949873644203</c:v>
                </c:pt>
                <c:pt idx="8">
                  <c:v>216.81074861261945</c:v>
                </c:pt>
                <c:pt idx="9">
                  <c:v>209.55787138206958</c:v>
                </c:pt>
                <c:pt idx="10">
                  <c:v>202.82147746943212</c:v>
                </c:pt>
                <c:pt idx="11">
                  <c:v>196.55676078055004</c:v>
                </c:pt>
                <c:pt idx="12">
                  <c:v>190.72306603080375</c:v>
                </c:pt>
                <c:pt idx="13">
                  <c:v>185.28349710120324</c:v>
                </c:pt>
                <c:pt idx="14">
                  <c:v>180.20456252724011</c:v>
                </c:pt>
                <c:pt idx="15">
                  <c:v>175.45585459539063</c:v>
                </c:pt>
                <c:pt idx="16">
                  <c:v>171.00975885691759</c:v>
                </c:pt>
                <c:pt idx="17">
                  <c:v>166.84119117158417</c:v>
                </c:pt>
                <c:pt idx="18">
                  <c:v>162.9273596680855</c:v>
                </c:pt>
                <c:pt idx="19">
                  <c:v>159.24754925615537</c:v>
                </c:pt>
                <c:pt idx="20">
                  <c:v>155.782926549889</c:v>
                </c:pt>
                <c:pt idx="21">
                  <c:v>152.51636326508043</c:v>
                </c:pt>
                <c:pt idx="22">
                  <c:v>149.43227633732261</c:v>
                </c:pt>
                <c:pt idx="23">
                  <c:v>146.5164831741024</c:v>
                </c:pt>
                <c:pt idx="24">
                  <c:v>143.75607060479334</c:v>
                </c:pt>
                <c:pt idx="25">
                  <c:v>141.13927622881101</c:v>
                </c:pt>
                <c:pt idx="26">
                  <c:v>138.65538098560853</c:v>
                </c:pt>
                <c:pt idx="27">
                  <c:v>136.2946118818802</c:v>
                </c:pt>
                <c:pt idx="28">
                  <c:v>134.04805391242729</c:v>
                </c:pt>
                <c:pt idx="29">
                  <c:v>131.90757030262318</c:v>
                </c:pt>
                <c:pt idx="30">
                  <c:v>129.86573028321345</c:v>
                </c:pt>
                <c:pt idx="31">
                  <c:v>127.91574368311842</c:v>
                </c:pt>
                <c:pt idx="32">
                  <c:v>126.05140169372459</c:v>
                </c:pt>
                <c:pt idx="33">
                  <c:v>124.26702321952848</c:v>
                </c:pt>
                <c:pt idx="34">
                  <c:v>122.5574062855444</c:v>
                </c:pt>
                <c:pt idx="35">
                  <c:v>120.91778402216173</c:v>
                </c:pt>
                <c:pt idx="36">
                  <c:v>119.34378479363627</c:v>
                </c:pt>
                <c:pt idx="37">
                  <c:v>117.83139607757965</c:v>
                </c:pt>
                <c:pt idx="38">
                  <c:v>116.37693174007779</c:v>
                </c:pt>
                <c:pt idx="39">
                  <c:v>114.97700238479982</c:v>
                </c:pt>
                <c:pt idx="40">
                  <c:v>113.62848848498498</c:v>
                </c:pt>
                <c:pt idx="41">
                  <c:v>112.32851603482231</c:v>
                </c:pt>
                <c:pt idx="42">
                  <c:v>111.07443448174246</c:v>
                </c:pt>
                <c:pt idx="43">
                  <c:v>109.86379672377117</c:v>
                </c:pt>
                <c:pt idx="44">
                  <c:v>108.69434097657489</c:v>
                </c:pt>
                <c:pt idx="45">
                  <c:v>107.56397433336519</c:v>
                </c:pt>
                <c:pt idx="46">
                  <c:v>106.47075785760575</c:v>
                </c:pt>
                <c:pt idx="47">
                  <c:v>105.41289306364868</c:v>
                </c:pt>
                <c:pt idx="48">
                  <c:v>104.38870965416908</c:v>
                </c:pt>
                <c:pt idx="49">
                  <c:v>103.39665439570388</c:v>
                </c:pt>
                <c:pt idx="50">
                  <c:v>102.43528102485752</c:v>
                </c:pt>
                <c:pt idx="51">
                  <c:v>101.50324108792464</c:v>
                </c:pt>
                <c:pt idx="52">
                  <c:v>100.59927562590076</c:v>
                </c:pt>
                <c:pt idx="53">
                  <c:v>99.722207625196546</c:v>
                </c:pt>
                <c:pt idx="54">
                  <c:v>98.870935161925445</c:v>
                </c:pt>
                <c:pt idx="55">
                  <c:v>98.044425174468984</c:v>
                </c:pt>
                <c:pt idx="56">
                  <c:v>97.24170780521257</c:v>
                </c:pt>
                <c:pt idx="57">
                  <c:v>96.461871257943699</c:v>
                </c:pt>
                <c:pt idx="58">
                  <c:v>95.704057122472932</c:v>
                </c:pt>
                <c:pt idx="59">
                  <c:v>94.967456122625833</c:v>
                </c:pt>
                <c:pt idx="60">
                  <c:v>94.251304247905296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65C-40C3-92B5-3CDC54B848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491862472"/>
        <c:axId val="491867392"/>
      </c:scatterChart>
      <c:valAx>
        <c:axId val="491862472"/>
        <c:scaling>
          <c:orientation val="minMax"/>
          <c:max val="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867392"/>
        <c:crosses val="autoZero"/>
        <c:crossBetween val="midCat"/>
      </c:valAx>
      <c:valAx>
        <c:axId val="49186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8624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259080</xdr:colOff>
      <xdr:row>32</xdr:row>
      <xdr:rowOff>45720</xdr:rowOff>
    </xdr:from>
    <xdr:to>
      <xdr:col>11</xdr:col>
      <xdr:colOff>360680</xdr:colOff>
      <xdr:row>54</xdr:row>
      <xdr:rowOff>162560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0341755-B114-487E-AD8E-40EA41E683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8E5EA-D2FA-4D05-814B-31E2A51F715C}">
  <dimension ref="B2:AB120"/>
  <sheetViews>
    <sheetView tabSelected="1" zoomScale="75" zoomScaleNormal="75" workbookViewId="0">
      <selection activeCell="E105" sqref="E105"/>
    </sheetView>
  </sheetViews>
  <sheetFormatPr defaultRowHeight="14.4" x14ac:dyDescent="0.3"/>
  <cols>
    <col min="3" max="3" width="17.109375" bestFit="1" customWidth="1"/>
    <col min="4" max="4" width="10.44140625" customWidth="1"/>
    <col min="5" max="5" width="9.109375" customWidth="1"/>
    <col min="6" max="6" width="9.88671875" customWidth="1"/>
    <col min="7" max="7" width="13" bestFit="1" customWidth="1"/>
    <col min="8" max="13" width="13" customWidth="1"/>
    <col min="14" max="14" width="4" customWidth="1"/>
    <col min="15" max="15" width="31.33203125" bestFit="1" customWidth="1"/>
    <col min="16" max="16" width="9.77734375" bestFit="1" customWidth="1"/>
    <col min="17" max="17" width="10.109375" bestFit="1" customWidth="1"/>
    <col min="18" max="18" width="9.88671875" bestFit="1" customWidth="1"/>
    <col min="19" max="19" width="8.6640625" customWidth="1"/>
    <col min="24" max="24" width="7.6640625" customWidth="1"/>
  </cols>
  <sheetData>
    <row r="2" spans="2:2" x14ac:dyDescent="0.3">
      <c r="B2" t="s">
        <v>72</v>
      </c>
    </row>
    <row r="4" spans="2:2" x14ac:dyDescent="0.3">
      <c r="B4" t="s">
        <v>73</v>
      </c>
    </row>
    <row r="5" spans="2:2" x14ac:dyDescent="0.3">
      <c r="B5" t="s">
        <v>74</v>
      </c>
    </row>
    <row r="6" spans="2:2" x14ac:dyDescent="0.3">
      <c r="B6" t="s">
        <v>75</v>
      </c>
    </row>
    <row r="8" spans="2:2" x14ac:dyDescent="0.3">
      <c r="B8" t="s">
        <v>77</v>
      </c>
    </row>
    <row r="9" spans="2:2" x14ac:dyDescent="0.3">
      <c r="B9" t="s">
        <v>78</v>
      </c>
    </row>
    <row r="10" spans="2:2" x14ac:dyDescent="0.3">
      <c r="B10" t="s">
        <v>76</v>
      </c>
    </row>
    <row r="12" spans="2:2" x14ac:dyDescent="0.3">
      <c r="B12" t="s">
        <v>107</v>
      </c>
    </row>
    <row r="13" spans="2:2" x14ac:dyDescent="0.3">
      <c r="B13" t="s">
        <v>104</v>
      </c>
    </row>
    <row r="15" spans="2:2" x14ac:dyDescent="0.3">
      <c r="B15" t="s">
        <v>105</v>
      </c>
    </row>
    <row r="16" spans="2:2" x14ac:dyDescent="0.3">
      <c r="B16" t="s">
        <v>106</v>
      </c>
    </row>
    <row r="19" spans="2:28" x14ac:dyDescent="0.3">
      <c r="C19" s="1" t="s">
        <v>0</v>
      </c>
    </row>
    <row r="20" spans="2:28" ht="15" thickBot="1" x14ac:dyDescent="0.35"/>
    <row r="21" spans="2:28" ht="15" thickBot="1" x14ac:dyDescent="0.35">
      <c r="C21" s="149" t="s">
        <v>1</v>
      </c>
      <c r="D21" s="39" t="s">
        <v>2</v>
      </c>
      <c r="E21" s="152" t="s">
        <v>3</v>
      </c>
      <c r="F21" s="153"/>
      <c r="O21" s="2" t="s">
        <v>4</v>
      </c>
      <c r="P21" s="3" t="s">
        <v>5</v>
      </c>
      <c r="Q21" s="4" t="s">
        <v>6</v>
      </c>
      <c r="R21" s="5" t="s">
        <v>7</v>
      </c>
      <c r="S21" s="6" t="s">
        <v>8</v>
      </c>
      <c r="T21" s="7" t="s">
        <v>9</v>
      </c>
      <c r="U21" s="8" t="s">
        <v>10</v>
      </c>
      <c r="V21" s="9"/>
      <c r="W21" s="9"/>
      <c r="X21" s="9"/>
      <c r="Y21" s="9"/>
      <c r="Z21" s="9"/>
      <c r="AA21" s="9"/>
      <c r="AB21" s="10"/>
    </row>
    <row r="22" spans="2:28" ht="17.399999999999999" x14ac:dyDescent="0.3">
      <c r="C22" s="150"/>
      <c r="D22" s="116" t="s">
        <v>11</v>
      </c>
      <c r="E22" s="154" t="s">
        <v>79</v>
      </c>
      <c r="F22" s="155"/>
      <c r="O22" s="11" t="s">
        <v>12</v>
      </c>
      <c r="P22" s="12">
        <v>0.15</v>
      </c>
      <c r="Q22" s="13">
        <v>0.22</v>
      </c>
      <c r="R22" s="14">
        <v>0.22</v>
      </c>
      <c r="S22" s="15" t="s">
        <v>13</v>
      </c>
      <c r="T22" s="16"/>
      <c r="U22" s="17" t="s">
        <v>14</v>
      </c>
      <c r="V22" s="17"/>
      <c r="W22" s="17"/>
      <c r="X22" s="17"/>
      <c r="Y22" s="17"/>
      <c r="Z22" s="17"/>
      <c r="AA22" s="17"/>
      <c r="AB22" s="18"/>
    </row>
    <row r="23" spans="2:28" ht="18" thickBot="1" x14ac:dyDescent="0.4">
      <c r="C23" s="151"/>
      <c r="D23" s="116" t="s">
        <v>15</v>
      </c>
      <c r="E23" s="19" t="s">
        <v>16</v>
      </c>
      <c r="F23" s="20" t="s">
        <v>17</v>
      </c>
      <c r="O23" s="21" t="s">
        <v>18</v>
      </c>
      <c r="P23" s="22">
        <v>5.5E-2</v>
      </c>
      <c r="Q23" s="23">
        <v>5.5E-2</v>
      </c>
      <c r="R23" s="24">
        <v>5.5E-2</v>
      </c>
      <c r="S23" s="25" t="s">
        <v>13</v>
      </c>
      <c r="T23" s="16"/>
      <c r="U23" s="17" t="s">
        <v>19</v>
      </c>
      <c r="V23" s="17"/>
      <c r="W23" s="17"/>
      <c r="X23" s="17"/>
      <c r="Y23" s="17"/>
      <c r="Z23" s="17"/>
      <c r="AA23" s="17"/>
      <c r="AB23" s="18"/>
    </row>
    <row r="24" spans="2:28" ht="16.2" x14ac:dyDescent="0.35">
      <c r="C24" s="117" t="s">
        <v>20</v>
      </c>
      <c r="D24" s="27">
        <v>91</v>
      </c>
      <c r="E24" s="27">
        <v>0</v>
      </c>
      <c r="F24" s="28">
        <v>9</v>
      </c>
      <c r="O24" s="21" t="s">
        <v>21</v>
      </c>
      <c r="P24" s="133">
        <v>5</v>
      </c>
      <c r="Q24" s="134">
        <v>5</v>
      </c>
      <c r="R24" s="135">
        <v>5.2</v>
      </c>
      <c r="S24" s="25" t="s">
        <v>22</v>
      </c>
      <c r="T24" s="16"/>
      <c r="U24" s="17" t="s">
        <v>23</v>
      </c>
      <c r="V24" s="17"/>
      <c r="W24" s="17"/>
      <c r="X24" s="17"/>
      <c r="Y24" s="17"/>
      <c r="Z24" s="17"/>
      <c r="AA24" s="17"/>
      <c r="AB24" s="18"/>
    </row>
    <row r="25" spans="2:28" ht="16.2" thickBot="1" x14ac:dyDescent="0.4">
      <c r="C25" s="118" t="s">
        <v>24</v>
      </c>
      <c r="D25" s="29">
        <v>13</v>
      </c>
      <c r="E25" s="29">
        <v>9</v>
      </c>
      <c r="F25" s="30">
        <v>11</v>
      </c>
      <c r="O25" s="130" t="s">
        <v>25</v>
      </c>
      <c r="P25" s="136">
        <v>5</v>
      </c>
      <c r="Q25" s="137">
        <v>5.5</v>
      </c>
      <c r="R25" s="138">
        <v>4.3</v>
      </c>
      <c r="S25" s="131" t="s">
        <v>80</v>
      </c>
      <c r="T25" s="16"/>
      <c r="U25" s="17"/>
      <c r="V25" s="17"/>
      <c r="W25" s="17"/>
      <c r="X25" s="17"/>
      <c r="Y25" s="17"/>
      <c r="Z25" s="17"/>
      <c r="AA25" s="17"/>
      <c r="AB25" s="18"/>
    </row>
    <row r="26" spans="2:28" ht="16.8" thickBot="1" x14ac:dyDescent="0.35">
      <c r="D26" s="110"/>
      <c r="E26" s="110"/>
      <c r="F26" s="110"/>
      <c r="O26" s="31" t="s">
        <v>81</v>
      </c>
      <c r="P26" s="32">
        <v>4.7</v>
      </c>
      <c r="Q26" s="132">
        <v>3</v>
      </c>
      <c r="R26" s="33">
        <v>1.4</v>
      </c>
      <c r="S26" s="34" t="s">
        <v>22</v>
      </c>
      <c r="T26" s="35"/>
      <c r="U26" s="36"/>
      <c r="V26" s="36"/>
      <c r="W26" s="36"/>
      <c r="X26" s="36"/>
      <c r="Y26" s="36"/>
      <c r="Z26" s="36"/>
      <c r="AA26" s="36"/>
      <c r="AB26" s="37"/>
    </row>
    <row r="27" spans="2:28" ht="15" thickBot="1" x14ac:dyDescent="0.35">
      <c r="B27" s="106"/>
      <c r="C27" s="127" t="s">
        <v>26</v>
      </c>
      <c r="D27" s="107"/>
      <c r="E27" s="107"/>
      <c r="F27" s="108"/>
    </row>
    <row r="28" spans="2:28" ht="15" thickBot="1" x14ac:dyDescent="0.35">
      <c r="B28" s="109"/>
      <c r="C28" s="113" t="s">
        <v>57</v>
      </c>
      <c r="D28" s="113"/>
      <c r="E28" s="113"/>
      <c r="F28" s="125"/>
      <c r="O28" s="38" t="s">
        <v>27</v>
      </c>
      <c r="P28" s="39" t="s">
        <v>5</v>
      </c>
      <c r="Q28" s="40" t="s">
        <v>8</v>
      </c>
    </row>
    <row r="29" spans="2:28" ht="17.399999999999999" x14ac:dyDescent="0.3">
      <c r="B29" s="109"/>
      <c r="C29" s="114"/>
      <c r="D29" s="120" t="s">
        <v>59</v>
      </c>
      <c r="E29" s="119">
        <v>10</v>
      </c>
      <c r="F29" s="125"/>
      <c r="O29" s="41" t="s">
        <v>12</v>
      </c>
      <c r="P29" s="42">
        <f ca="1">$P$95</f>
        <v>9.9792448665579223E-2</v>
      </c>
      <c r="Q29" s="43" t="s">
        <v>13</v>
      </c>
    </row>
    <row r="30" spans="2:28" ht="18" thickBot="1" x14ac:dyDescent="0.35">
      <c r="B30" s="109"/>
      <c r="C30" s="115"/>
      <c r="D30" s="121" t="s">
        <v>58</v>
      </c>
      <c r="E30" s="123">
        <f ca="1" xml:space="preserve"> (VLOOKUP($F$24 + $E$29,C36:D96,2) - VLOOKUP($F$24,C36:D96,2)) / ($Q$101 + $Q$102 +$Q$118 - VLOOKUP($F$24,C36:D96,2))</f>
        <v>0.24007841745150937</v>
      </c>
      <c r="F30" s="125"/>
      <c r="O30" s="45" t="s">
        <v>18</v>
      </c>
      <c r="P30" s="46">
        <f ca="1">$P$98</f>
        <v>2.4948112166394806E-2</v>
      </c>
      <c r="Q30" s="47" t="s">
        <v>13</v>
      </c>
    </row>
    <row r="31" spans="2:28" ht="16.8" thickBot="1" x14ac:dyDescent="0.35">
      <c r="B31" s="111"/>
      <c r="C31" s="112"/>
      <c r="D31" s="112"/>
      <c r="E31" s="112"/>
      <c r="F31" s="126"/>
      <c r="O31" s="45" t="s">
        <v>21</v>
      </c>
      <c r="P31" s="50">
        <f ca="1">$Q$102</f>
        <v>112.34715190777901</v>
      </c>
      <c r="Q31" s="47" t="s">
        <v>22</v>
      </c>
    </row>
    <row r="32" spans="2:28" ht="16.8" thickBot="1" x14ac:dyDescent="0.35">
      <c r="B32" s="110"/>
      <c r="C32" s="110"/>
      <c r="D32" s="110"/>
      <c r="E32" s="110"/>
      <c r="F32" s="113"/>
      <c r="O32" s="53" t="s">
        <v>25</v>
      </c>
      <c r="P32" s="54">
        <f ca="1">$Q$101</f>
        <v>121.42348826219855</v>
      </c>
      <c r="Q32" s="55" t="s">
        <v>22</v>
      </c>
    </row>
    <row r="33" spans="3:22" ht="15" thickBot="1" x14ac:dyDescent="0.35"/>
    <row r="34" spans="3:22" x14ac:dyDescent="0.3">
      <c r="C34" s="44" t="s">
        <v>28</v>
      </c>
      <c r="D34" s="59" t="s">
        <v>29</v>
      </c>
      <c r="E34" s="60" t="s">
        <v>99</v>
      </c>
      <c r="F34" s="122"/>
      <c r="N34" s="1" t="s">
        <v>31</v>
      </c>
    </row>
    <row r="35" spans="3:22" ht="15" thickBot="1" x14ac:dyDescent="0.35">
      <c r="C35" s="48" t="s">
        <v>30</v>
      </c>
      <c r="D35" s="19" t="s">
        <v>15</v>
      </c>
      <c r="E35" s="49" t="s">
        <v>15</v>
      </c>
    </row>
    <row r="36" spans="3:22" ht="15" thickBot="1" x14ac:dyDescent="0.35">
      <c r="C36" s="51">
        <v>0</v>
      </c>
      <c r="D36" s="145">
        <f t="shared" ref="D36:D67" ca="1" si="0" xml:space="preserve">  $P$31 + $P$32 - ($P$31 * EXP(-$P$29*$C36) + $P$32 * EXP(-$P$30*$C36))</f>
        <v>0</v>
      </c>
      <c r="E36" s="52">
        <f ca="1" xml:space="preserve"> $P$31 + $P$32 + $Q$118 - D36</f>
        <v>300.56225164711401</v>
      </c>
      <c r="N36" t="s">
        <v>32</v>
      </c>
    </row>
    <row r="37" spans="3:22" x14ac:dyDescent="0.3">
      <c r="C37" s="56">
        <v>1</v>
      </c>
      <c r="D37" s="146">
        <f t="shared" ca="1" si="0"/>
        <v>13.661955646350464</v>
      </c>
      <c r="E37" s="52">
        <f t="shared" ref="E37:E96" ca="1" si="1" xml:space="preserve"> $P$31 + $P$32 + $Q$118 - D37</f>
        <v>286.90029600076355</v>
      </c>
      <c r="N37" s="57"/>
      <c r="O37" s="58"/>
      <c r="P37" s="59" t="s">
        <v>5</v>
      </c>
      <c r="Q37" s="59" t="s">
        <v>6</v>
      </c>
      <c r="R37" s="60" t="s">
        <v>7</v>
      </c>
    </row>
    <row r="38" spans="3:22" ht="15.6" x14ac:dyDescent="0.35">
      <c r="C38" s="56">
        <v>2</v>
      </c>
      <c r="D38" s="146">
        <f t="shared" ca="1" si="0"/>
        <v>26.236800216948183</v>
      </c>
      <c r="E38" s="52">
        <f t="shared" ca="1" si="1"/>
        <v>274.3254514301658</v>
      </c>
      <c r="N38" s="61"/>
      <c r="O38" s="62" t="s">
        <v>33</v>
      </c>
      <c r="P38" s="63">
        <f>P23/P22</f>
        <v>0.3666666666666667</v>
      </c>
      <c r="Q38" s="63">
        <f>Q23/Q22</f>
        <v>0.25</v>
      </c>
      <c r="R38" s="64">
        <f>R23/R22</f>
        <v>0.25</v>
      </c>
    </row>
    <row r="39" spans="3:22" ht="16.2" thickBot="1" x14ac:dyDescent="0.4">
      <c r="C39" s="56">
        <v>3</v>
      </c>
      <c r="D39" s="146">
        <f t="shared" ca="1" si="0"/>
        <v>37.822596944123916</v>
      </c>
      <c r="E39" s="52">
        <f t="shared" ca="1" si="1"/>
        <v>262.73965470299009</v>
      </c>
      <c r="N39" s="65"/>
      <c r="O39" s="66" t="s">
        <v>34</v>
      </c>
      <c r="P39" s="67">
        <f>P25/P24</f>
        <v>1</v>
      </c>
      <c r="Q39" s="67">
        <f>Q25/Q24</f>
        <v>1.1000000000000001</v>
      </c>
      <c r="R39" s="68">
        <f>R25/R24</f>
        <v>0.82692307692307687</v>
      </c>
    </row>
    <row r="40" spans="3:22" x14ac:dyDescent="0.3">
      <c r="C40" s="56">
        <v>4</v>
      </c>
      <c r="D40" s="146">
        <f t="shared" ca="1" si="0"/>
        <v>48.508223280867838</v>
      </c>
      <c r="E40" s="52">
        <f t="shared" ca="1" si="1"/>
        <v>252.05402836624617</v>
      </c>
      <c r="O40" s="69" t="s">
        <v>35</v>
      </c>
      <c r="P40" s="70"/>
      <c r="Q40" s="70"/>
      <c r="R40" s="70"/>
    </row>
    <row r="41" spans="3:22" x14ac:dyDescent="0.3">
      <c r="C41" s="56">
        <v>5</v>
      </c>
      <c r="D41" s="146">
        <f t="shared" ca="1" si="0"/>
        <v>58.374240170275044</v>
      </c>
      <c r="E41" s="52">
        <f t="shared" ca="1" si="1"/>
        <v>242.18801147683897</v>
      </c>
      <c r="F41" s="124"/>
      <c r="N41" t="s">
        <v>36</v>
      </c>
      <c r="O41" s="71"/>
      <c r="P41" s="70"/>
      <c r="Q41" s="70"/>
      <c r="R41" s="70"/>
    </row>
    <row r="42" spans="3:22" ht="15" thickBot="1" x14ac:dyDescent="0.35">
      <c r="C42" s="56">
        <v>6</v>
      </c>
      <c r="D42" s="146">
        <f t="shared" ca="1" si="0"/>
        <v>67.493678833891437</v>
      </c>
      <c r="E42" s="52">
        <f t="shared" ca="1" si="1"/>
        <v>233.06857281322257</v>
      </c>
      <c r="O42" s="71"/>
      <c r="P42" s="70"/>
      <c r="Q42" s="70"/>
      <c r="R42" s="70"/>
    </row>
    <row r="43" spans="3:22" ht="16.2" thickBot="1" x14ac:dyDescent="0.4">
      <c r="C43" s="56">
        <v>7</v>
      </c>
      <c r="D43" s="146">
        <f t="shared" ca="1" si="0"/>
        <v>75.932752910671979</v>
      </c>
      <c r="E43" s="52">
        <f t="shared" ca="1" si="1"/>
        <v>224.62949873644203</v>
      </c>
      <c r="O43" s="71" t="s">
        <v>37</v>
      </c>
      <c r="P43" s="72" t="s">
        <v>69</v>
      </c>
      <c r="Q43" s="73"/>
      <c r="R43" s="73"/>
      <c r="S43" s="74"/>
      <c r="T43" s="74"/>
      <c r="U43" s="74"/>
      <c r="V43" s="75"/>
    </row>
    <row r="44" spans="3:22" x14ac:dyDescent="0.3">
      <c r="C44" s="56">
        <v>8</v>
      </c>
      <c r="D44" s="146">
        <f t="shared" ca="1" si="0"/>
        <v>83.751503034494561</v>
      </c>
      <c r="E44" s="52">
        <f t="shared" ca="1" si="1"/>
        <v>216.81074861261945</v>
      </c>
      <c r="O44" s="71"/>
      <c r="P44" s="70"/>
      <c r="Q44" s="70"/>
      <c r="R44" s="70"/>
    </row>
    <row r="45" spans="3:22" x14ac:dyDescent="0.3">
      <c r="C45" s="56">
        <v>9</v>
      </c>
      <c r="D45" s="146">
        <f t="shared" ca="1" si="0"/>
        <v>91.004380265044432</v>
      </c>
      <c r="E45" s="52">
        <f t="shared" ca="1" si="1"/>
        <v>209.55787138206958</v>
      </c>
      <c r="N45" t="s">
        <v>38</v>
      </c>
      <c r="O45" s="71"/>
      <c r="P45" s="70"/>
      <c r="Q45" s="70"/>
      <c r="R45" s="70"/>
    </row>
    <row r="46" spans="3:22" ht="15.6" x14ac:dyDescent="0.35">
      <c r="C46" s="56">
        <v>10</v>
      </c>
      <c r="D46" s="146">
        <f t="shared" ca="1" si="0"/>
        <v>97.740774177681885</v>
      </c>
      <c r="E46" s="52">
        <f t="shared" ca="1" si="1"/>
        <v>202.82147746943212</v>
      </c>
      <c r="P46" s="71" t="s">
        <v>39</v>
      </c>
      <c r="Q46" t="s">
        <v>63</v>
      </c>
    </row>
    <row r="47" spans="3:22" ht="15.6" x14ac:dyDescent="0.35">
      <c r="C47" s="56">
        <v>11</v>
      </c>
      <c r="D47" s="146">
        <f t="shared" ca="1" si="0"/>
        <v>104.00549086656397</v>
      </c>
      <c r="E47" s="52">
        <f t="shared" ca="1" si="1"/>
        <v>196.55676078055004</v>
      </c>
      <c r="P47" s="71" t="s">
        <v>40</v>
      </c>
      <c r="Q47" t="s">
        <v>64</v>
      </c>
    </row>
    <row r="48" spans="3:22" x14ac:dyDescent="0.3">
      <c r="C48" s="56">
        <v>12</v>
      </c>
      <c r="D48" s="146">
        <f t="shared" ca="1" si="0"/>
        <v>109.83918561631026</v>
      </c>
      <c r="E48" s="52">
        <f t="shared" ca="1" si="1"/>
        <v>190.72306603080375</v>
      </c>
      <c r="O48" s="69" t="s">
        <v>70</v>
      </c>
    </row>
    <row r="49" spans="3:24" x14ac:dyDescent="0.3">
      <c r="C49" s="56">
        <v>13</v>
      </c>
      <c r="D49" s="146">
        <f t="shared" ca="1" si="0"/>
        <v>115.27875454591077</v>
      </c>
      <c r="E49" s="52">
        <f t="shared" ca="1" si="1"/>
        <v>185.28349710120324</v>
      </c>
      <c r="N49" t="s">
        <v>60</v>
      </c>
    </row>
    <row r="50" spans="3:24" ht="15.6" x14ac:dyDescent="0.35">
      <c r="C50" s="56">
        <v>14</v>
      </c>
      <c r="D50" s="146">
        <f t="shared" ca="1" si="0"/>
        <v>120.3576891198739</v>
      </c>
      <c r="E50" s="52">
        <f t="shared" ca="1" si="1"/>
        <v>180.20456252724011</v>
      </c>
      <c r="P50" s="71" t="s">
        <v>42</v>
      </c>
      <c r="Q50" s="76" t="s">
        <v>62</v>
      </c>
    </row>
    <row r="51" spans="3:24" ht="15.6" x14ac:dyDescent="0.35">
      <c r="C51" s="56">
        <v>15</v>
      </c>
      <c r="D51" s="146">
        <f t="shared" ca="1" si="0"/>
        <v>125.10639705172338</v>
      </c>
      <c r="E51" s="52">
        <f t="shared" ca="1" si="1"/>
        <v>175.45585459539063</v>
      </c>
      <c r="P51" s="71" t="s">
        <v>41</v>
      </c>
      <c r="Q51" s="76" t="s">
        <v>43</v>
      </c>
    </row>
    <row r="52" spans="3:24" ht="15.6" x14ac:dyDescent="0.35">
      <c r="C52" s="56">
        <v>16</v>
      </c>
      <c r="D52" s="146">
        <f t="shared" ca="1" si="0"/>
        <v>129.55249279019642</v>
      </c>
      <c r="E52" s="52">
        <f t="shared" ca="1" si="1"/>
        <v>171.00975885691759</v>
      </c>
      <c r="O52" t="s">
        <v>44</v>
      </c>
      <c r="P52" s="71" t="s">
        <v>65</v>
      </c>
      <c r="Q52" s="76" t="s">
        <v>61</v>
      </c>
      <c r="U52" s="71"/>
      <c r="V52" s="76"/>
    </row>
    <row r="53" spans="3:24" x14ac:dyDescent="0.3">
      <c r="C53" s="56">
        <v>17</v>
      </c>
      <c r="D53" s="146">
        <f t="shared" ca="1" si="0"/>
        <v>133.72106047552984</v>
      </c>
      <c r="E53" s="52">
        <f t="shared" ca="1" si="1"/>
        <v>166.84119117158417</v>
      </c>
      <c r="N53" t="s">
        <v>67</v>
      </c>
    </row>
    <row r="54" spans="3:24" ht="15" thickBot="1" x14ac:dyDescent="0.35">
      <c r="C54" s="56">
        <v>18</v>
      </c>
      <c r="D54" s="146">
        <f t="shared" ca="1" si="0"/>
        <v>137.63489197902851</v>
      </c>
      <c r="E54" s="52">
        <f t="shared" ca="1" si="1"/>
        <v>162.9273596680855</v>
      </c>
      <c r="O54" t="s">
        <v>68</v>
      </c>
    </row>
    <row r="55" spans="3:24" ht="15" thickBot="1" x14ac:dyDescent="0.35">
      <c r="C55" s="56">
        <v>19</v>
      </c>
      <c r="D55" s="146">
        <f t="shared" ca="1" si="0"/>
        <v>141.31470239095864</v>
      </c>
      <c r="E55" s="52">
        <f t="shared" ca="1" si="1"/>
        <v>159.24754925615537</v>
      </c>
      <c r="N55" t="s">
        <v>45</v>
      </c>
      <c r="X55" s="77">
        <f ca="1" xml:space="preserve"> OFFSET(P57,MATCH($Q$39,$U$57:$U$86,1)-1,0)</f>
        <v>9.9999999999999992E-2</v>
      </c>
    </row>
    <row r="56" spans="3:24" ht="16.2" thickBot="1" x14ac:dyDescent="0.4">
      <c r="C56" s="56">
        <v>20</v>
      </c>
      <c r="D56" s="146">
        <f t="shared" ca="1" si="0"/>
        <v>144.77932509722501</v>
      </c>
      <c r="E56" s="52">
        <f t="shared" ca="1" si="1"/>
        <v>155.782926549889</v>
      </c>
      <c r="P56" s="78" t="s">
        <v>55</v>
      </c>
      <c r="Q56" s="79" t="s">
        <v>47</v>
      </c>
      <c r="R56" s="79" t="s">
        <v>48</v>
      </c>
      <c r="S56" s="79" t="s">
        <v>49</v>
      </c>
      <c r="T56" s="79" t="s">
        <v>50</v>
      </c>
      <c r="U56" s="80" t="s">
        <v>66</v>
      </c>
    </row>
    <row r="57" spans="3:24" x14ac:dyDescent="0.3">
      <c r="C57" s="56">
        <v>21</v>
      </c>
      <c r="D57" s="146">
        <f t="shared" ca="1" si="0"/>
        <v>148.04588838203358</v>
      </c>
      <c r="E57" s="52">
        <f t="shared" ca="1" si="1"/>
        <v>152.51636326508043</v>
      </c>
      <c r="G57" t="s">
        <v>102</v>
      </c>
      <c r="P57" s="81">
        <v>0.01</v>
      </c>
      <c r="Q57" s="82">
        <f xml:space="preserve"> EXP(-$P57*$E$24) - EXP(-$P57*$F$24)</f>
        <v>8.6068814728771814E-2</v>
      </c>
      <c r="R57" s="82">
        <f t="shared" ref="R57:R86" si="2" xml:space="preserve"> EXP(-$Q$38*P57*$E$24) - EXP(-$Q$38*P57*$F$24)</f>
        <v>2.2248762806663658E-2</v>
      </c>
      <c r="S57" s="82">
        <f xml:space="preserve"> EXP(-P57*$E$25) - EXP(-P57*$F$25)</f>
        <v>1.8097049974699964E-2</v>
      </c>
      <c r="T57" s="82">
        <f t="shared" ref="T57:T86" si="3" xml:space="preserve"> EXP(-$Q$38*P57*$E$25) - EXP(-$Q$38*P57*$F$25)</f>
        <v>4.8765546398823467E-3</v>
      </c>
      <c r="U57" s="83">
        <f xml:space="preserve"> -(S57*$D$24 - Q57*$D$25)/(T57*$D$24 - R57*$D$25)</f>
        <v>-3.4163477960126767</v>
      </c>
    </row>
    <row r="58" spans="3:24" x14ac:dyDescent="0.3">
      <c r="C58" s="56">
        <v>22</v>
      </c>
      <c r="D58" s="146">
        <f t="shared" ca="1" si="0"/>
        <v>151.1299753097914</v>
      </c>
      <c r="E58" s="52">
        <f t="shared" ca="1" si="1"/>
        <v>149.43227633732261</v>
      </c>
      <c r="G58" t="s">
        <v>101</v>
      </c>
      <c r="P58" s="84">
        <v>0.02</v>
      </c>
      <c r="Q58" s="85">
        <f t="shared" ref="Q58:Q86" si="4" xml:space="preserve"> EXP(-P58*$E$24) - EXP(-P58*$F$24)</f>
        <v>0.164729788588728</v>
      </c>
      <c r="R58" s="85">
        <f t="shared" si="2"/>
        <v>4.400251816690004E-2</v>
      </c>
      <c r="S58" s="85">
        <f t="shared" ref="S58:S86" si="5" xml:space="preserve"> EXP(-P58*$E$25) - EXP(-P58*$F$25)</f>
        <v>3.2751413448793509E-2</v>
      </c>
      <c r="T58" s="85">
        <f t="shared" si="3"/>
        <v>9.5123338796161416E-3</v>
      </c>
      <c r="U58" s="86">
        <f t="shared" ref="U58:U86" si="6" xml:space="preserve"> -(S58*$D$24 - Q58*$D$25)/(T58*$D$24 - R58*$D$25)</f>
        <v>-2.8573602002486918</v>
      </c>
      <c r="W58" s="76"/>
    </row>
    <row r="59" spans="3:24" x14ac:dyDescent="0.3">
      <c r="C59" s="56">
        <v>23</v>
      </c>
      <c r="D59" s="146">
        <f t="shared" ca="1" si="0"/>
        <v>154.04576847301161</v>
      </c>
      <c r="E59" s="52">
        <f t="shared" ca="1" si="1"/>
        <v>146.5164831741024</v>
      </c>
      <c r="G59" t="s">
        <v>100</v>
      </c>
      <c r="P59" s="84">
        <v>0.03</v>
      </c>
      <c r="Q59" s="85">
        <f t="shared" si="4"/>
        <v>0.23662050566314685</v>
      </c>
      <c r="R59" s="85">
        <f t="shared" si="2"/>
        <v>6.5272279383972509E-2</v>
      </c>
      <c r="S59" s="85">
        <f t="shared" si="5"/>
        <v>4.4455760904926978E-2</v>
      </c>
      <c r="T59" s="85">
        <f t="shared" si="3"/>
        <v>1.3916282759222964E-2</v>
      </c>
      <c r="U59" s="86">
        <f t="shared" si="6"/>
        <v>-2.320033502657906</v>
      </c>
    </row>
    <row r="60" spans="3:24" x14ac:dyDescent="0.3">
      <c r="C60" s="56">
        <v>24</v>
      </c>
      <c r="D60" s="146">
        <f t="shared" ca="1" si="0"/>
        <v>156.80618104232067</v>
      </c>
      <c r="E60" s="52">
        <f t="shared" ca="1" si="1"/>
        <v>143.75607060479334</v>
      </c>
      <c r="P60" s="84">
        <v>0.04</v>
      </c>
      <c r="Q60" s="85">
        <f t="shared" si="4"/>
        <v>0.30232367392896897</v>
      </c>
      <c r="R60" s="85">
        <f t="shared" si="2"/>
        <v>8.6068814728771814E-2</v>
      </c>
      <c r="S60" s="85">
        <f t="shared" si="5"/>
        <v>5.3639904987889619E-2</v>
      </c>
      <c r="T60" s="85">
        <f t="shared" si="3"/>
        <v>1.8097049974699964E-2</v>
      </c>
      <c r="U60" s="86">
        <f t="shared" si="6"/>
        <v>-1.801396135675057</v>
      </c>
      <c r="X60" s="87"/>
    </row>
    <row r="61" spans="3:24" x14ac:dyDescent="0.3">
      <c r="C61" s="56">
        <v>25</v>
      </c>
      <c r="D61" s="146">
        <f t="shared" ca="1" si="0"/>
        <v>159.422975418303</v>
      </c>
      <c r="E61" s="52">
        <f t="shared" ca="1" si="1"/>
        <v>141.13927622881101</v>
      </c>
      <c r="G61" t="s">
        <v>103</v>
      </c>
      <c r="P61" s="84">
        <v>0.05</v>
      </c>
      <c r="Q61" s="85">
        <f t="shared" si="4"/>
        <v>0.36237184837822667</v>
      </c>
      <c r="R61" s="85">
        <f t="shared" si="2"/>
        <v>0.10640265289148432</v>
      </c>
      <c r="S61" s="85">
        <f t="shared" si="5"/>
        <v>6.0678341241286682E-2</v>
      </c>
      <c r="T61" s="85">
        <f t="shared" si="3"/>
        <v>2.206299711135784E-2</v>
      </c>
      <c r="U61" s="86">
        <f t="shared" si="6"/>
        <v>-1.2984744547032745</v>
      </c>
      <c r="W61" s="88"/>
    </row>
    <row r="62" spans="3:24" x14ac:dyDescent="0.3">
      <c r="C62" s="56">
        <v>26</v>
      </c>
      <c r="D62" s="146">
        <f t="shared" ca="1" si="0"/>
        <v>161.90687066150548</v>
      </c>
      <c r="E62" s="52">
        <f t="shared" ca="1" si="1"/>
        <v>138.65538098560853</v>
      </c>
      <c r="P62" s="84">
        <v>6.0000000000000005E-2</v>
      </c>
      <c r="Q62" s="85">
        <f t="shared" si="4"/>
        <v>0.41725174762601036</v>
      </c>
      <c r="R62" s="85">
        <f t="shared" si="2"/>
        <v>0.12628408831196558</v>
      </c>
      <c r="S62" s="85">
        <f t="shared" si="5"/>
        <v>6.5896917882290462E-2</v>
      </c>
      <c r="T62" s="85">
        <f t="shared" si="3"/>
        <v>2.5822207600118552E-2</v>
      </c>
      <c r="U62" s="86">
        <f t="shared" si="6"/>
        <v>-0.8082536143503789</v>
      </c>
    </row>
    <row r="63" spans="3:24" x14ac:dyDescent="0.3">
      <c r="C63" s="56">
        <v>27</v>
      </c>
      <c r="D63" s="146">
        <f t="shared" ca="1" si="0"/>
        <v>164.26763976523381</v>
      </c>
      <c r="E63" s="52">
        <f t="shared" ca="1" si="1"/>
        <v>136.2946118818802</v>
      </c>
      <c r="P63" s="84">
        <v>6.9999999999999993E-2</v>
      </c>
      <c r="Q63" s="85">
        <f t="shared" si="4"/>
        <v>0.46740819899310271</v>
      </c>
      <c r="R63" s="85">
        <f t="shared" si="2"/>
        <v>0.14572318639152049</v>
      </c>
      <c r="S63" s="85">
        <f t="shared" si="5"/>
        <v>6.9578732695669165E-2</v>
      </c>
      <c r="T63" s="85">
        <f t="shared" si="3"/>
        <v>2.9382495404876141E-2</v>
      </c>
      <c r="U63" s="86">
        <f t="shared" si="6"/>
        <v>-0.32763181217313742</v>
      </c>
    </row>
    <row r="64" spans="3:24" x14ac:dyDescent="0.3">
      <c r="C64" s="56">
        <v>28</v>
      </c>
      <c r="D64" s="146">
        <f t="shared" ca="1" si="0"/>
        <v>166.51419773468672</v>
      </c>
      <c r="E64" s="52">
        <f t="shared" ca="1" si="1"/>
        <v>134.04805391242729</v>
      </c>
      <c r="P64" s="84">
        <v>0.08</v>
      </c>
      <c r="Q64" s="85">
        <f t="shared" si="4"/>
        <v>0.51324774404002826</v>
      </c>
      <c r="R64" s="85">
        <f t="shared" si="2"/>
        <v>0.164729788588728</v>
      </c>
      <c r="S64" s="85">
        <f t="shared" si="5"/>
        <v>7.1969344278390301E-2</v>
      </c>
      <c r="T64" s="85">
        <f t="shared" si="3"/>
        <v>3.2751413448793509E-2</v>
      </c>
      <c r="U64" s="86">
        <f t="shared" si="6"/>
        <v>0.14663441211249822</v>
      </c>
    </row>
    <row r="65" spans="3:21" x14ac:dyDescent="0.3">
      <c r="C65" s="56">
        <v>29</v>
      </c>
      <c r="D65" s="146">
        <f t="shared" ca="1" si="0"/>
        <v>168.65468134449083</v>
      </c>
      <c r="E65" s="52">
        <f t="shared" ca="1" si="1"/>
        <v>131.90757030262318</v>
      </c>
      <c r="P65" s="84">
        <v>0.09</v>
      </c>
      <c r="Q65" s="85">
        <f t="shared" si="4"/>
        <v>0.55514193377705889</v>
      </c>
      <c r="R65" s="85">
        <f t="shared" si="2"/>
        <v>0.18331351740188917</v>
      </c>
      <c r="S65" s="85">
        <f t="shared" si="5"/>
        <v>7.3281375200895449E-2</v>
      </c>
      <c r="T65" s="85">
        <f t="shared" si="3"/>
        <v>3.593626178718512E-2</v>
      </c>
      <c r="U65" s="86">
        <f t="shared" si="6"/>
        <v>0.6179969612361228</v>
      </c>
    </row>
    <row r="66" spans="3:21" x14ac:dyDescent="0.3">
      <c r="C66" s="56">
        <v>30</v>
      </c>
      <c r="D66" s="146">
        <f t="shared" ca="1" si="0"/>
        <v>170.69652136390056</v>
      </c>
      <c r="E66" s="52">
        <f t="shared" ca="1" si="1"/>
        <v>129.86573028321345</v>
      </c>
      <c r="P66" s="84">
        <v>9.9999999999999992E-2</v>
      </c>
      <c r="Q66" s="85">
        <f t="shared" si="4"/>
        <v>0.59343034025940078</v>
      </c>
      <c r="R66" s="85">
        <f t="shared" si="2"/>
        <v>0.20148378124062294</v>
      </c>
      <c r="S66" s="85">
        <f t="shared" si="5"/>
        <v>7.3698576042519559E-2</v>
      </c>
      <c r="T66" s="85">
        <f t="shared" si="3"/>
        <v>3.8944095534408585E-2</v>
      </c>
      <c r="U66" s="86">
        <f t="shared" si="6"/>
        <v>1.0901993758725499</v>
      </c>
    </row>
    <row r="67" spans="3:21" x14ac:dyDescent="0.3">
      <c r="C67" s="56">
        <v>31</v>
      </c>
      <c r="D67" s="146">
        <f t="shared" ca="1" si="0"/>
        <v>172.64650796399559</v>
      </c>
      <c r="E67" s="52">
        <f t="shared" ca="1" si="1"/>
        <v>127.91574368311842</v>
      </c>
      <c r="P67" s="84">
        <v>0.11</v>
      </c>
      <c r="Q67" s="85">
        <f t="shared" si="4"/>
        <v>0.62842330897795429</v>
      </c>
      <c r="R67" s="85">
        <f t="shared" si="2"/>
        <v>0.21924977918907429</v>
      </c>
      <c r="S67" s="85">
        <f t="shared" si="5"/>
        <v>7.3379411592158328E-2</v>
      </c>
      <c r="T67" s="85">
        <f t="shared" si="3"/>
        <v>4.1781732551981476E-2</v>
      </c>
      <c r="U67" s="86">
        <f t="shared" si="6"/>
        <v>1.5673824987855145</v>
      </c>
    </row>
    <row r="68" spans="3:21" x14ac:dyDescent="0.3">
      <c r="C68" s="56">
        <v>32</v>
      </c>
      <c r="D68" s="146">
        <f t="shared" ref="D68:D96" ca="1" si="7" xml:space="preserve">  $P$31 + $P$32 - ($P$31 * EXP(-$P$29*$C68) + $P$32 * EXP(-$P$30*$C68))</f>
        <v>174.51084995338942</v>
      </c>
      <c r="E68" s="52">
        <f t="shared" ca="1" si="1"/>
        <v>126.05140169372459</v>
      </c>
      <c r="P68" s="84">
        <v>0.12</v>
      </c>
      <c r="Q68" s="85">
        <f t="shared" si="4"/>
        <v>0.66040447435506089</v>
      </c>
      <c r="R68" s="85">
        <f t="shared" si="2"/>
        <v>0.23662050566314685</v>
      </c>
      <c r="S68" s="85">
        <f t="shared" si="5"/>
        <v>7.246022367908872E-2</v>
      </c>
      <c r="T68" s="85">
        <f t="shared" si="3"/>
        <v>4.4455760904926978E-2</v>
      </c>
      <c r="U68" s="86">
        <f t="shared" si="6"/>
        <v>2.0542212281369965</v>
      </c>
    </row>
    <row r="69" spans="3:21" x14ac:dyDescent="0.3">
      <c r="C69" s="56">
        <v>33</v>
      </c>
      <c r="D69" s="146">
        <f t="shared" ca="1" si="7"/>
        <v>176.29522842758553</v>
      </c>
      <c r="E69" s="52">
        <f t="shared" ca="1" si="1"/>
        <v>124.26702321952848</v>
      </c>
      <c r="P69" s="84">
        <v>0.13</v>
      </c>
      <c r="Q69" s="85">
        <f t="shared" si="4"/>
        <v>0.68963305873451497</v>
      </c>
      <c r="R69" s="85">
        <f t="shared" si="2"/>
        <v>0.25360475496411827</v>
      </c>
      <c r="S69" s="85">
        <f t="shared" si="5"/>
        <v>7.1058019021730534E-2</v>
      </c>
      <c r="T69" s="85">
        <f t="shared" si="3"/>
        <v>4.6972546093152601E-2</v>
      </c>
      <c r="U69" s="86">
        <f t="shared" si="6"/>
        <v>2.5561048437549641</v>
      </c>
    </row>
    <row r="70" spans="3:21" x14ac:dyDescent="0.3">
      <c r="C70" s="56">
        <v>34</v>
      </c>
      <c r="D70" s="146">
        <f t="shared" ca="1" si="7"/>
        <v>178.00484536156961</v>
      </c>
      <c r="E70" s="52">
        <f t="shared" ca="1" si="1"/>
        <v>122.5574062855444</v>
      </c>
      <c r="P70" s="84">
        <v>0.14000000000000001</v>
      </c>
      <c r="Q70" s="85">
        <f t="shared" si="4"/>
        <v>0.71634597350022977</v>
      </c>
      <c r="R70" s="85">
        <f t="shared" si="2"/>
        <v>0.27021112573094319</v>
      </c>
      <c r="S70" s="85">
        <f t="shared" si="5"/>
        <v>6.9272925072792341E-2</v>
      </c>
      <c r="T70" s="85">
        <f t="shared" si="3"/>
        <v>4.9338238064469131E-2</v>
      </c>
      <c r="U70" s="86">
        <f t="shared" si="6"/>
        <v>3.0793793297626673</v>
      </c>
    </row>
    <row r="71" spans="3:21" x14ac:dyDescent="0.3">
      <c r="C71" s="56">
        <v>35</v>
      </c>
      <c r="D71" s="146">
        <f t="shared" ca="1" si="7"/>
        <v>179.64446762495228</v>
      </c>
      <c r="E71" s="52">
        <f t="shared" ca="1" si="1"/>
        <v>120.91778402216173</v>
      </c>
      <c r="P71" s="84">
        <v>0.15000000000000002</v>
      </c>
      <c r="Q71" s="85">
        <f t="shared" si="4"/>
        <v>0.74075973935410855</v>
      </c>
      <c r="R71" s="85">
        <f t="shared" si="2"/>
        <v>0.28644802529349755</v>
      </c>
      <c r="S71" s="85">
        <f t="shared" si="5"/>
        <v>6.7190352025137456E-2</v>
      </c>
      <c r="T71" s="85">
        <f t="shared" si="3"/>
        <v>5.1558778015668549E-2</v>
      </c>
      <c r="U71" s="86">
        <f t="shared" si="6"/>
        <v>3.631679450313106</v>
      </c>
    </row>
    <row r="72" spans="3:21" x14ac:dyDescent="0.3">
      <c r="C72" s="56">
        <v>36</v>
      </c>
      <c r="D72" s="146">
        <f t="shared" ca="1" si="7"/>
        <v>181.21846685347774</v>
      </c>
      <c r="E72" s="52">
        <f t="shared" ca="1" si="1"/>
        <v>119.34378479363627</v>
      </c>
      <c r="P72" s="84">
        <v>0.16</v>
      </c>
      <c r="Q72" s="85">
        <f t="shared" si="4"/>
        <v>0.76307224131787821</v>
      </c>
      <c r="R72" s="85">
        <f t="shared" si="2"/>
        <v>0.30232367392896897</v>
      </c>
      <c r="S72" s="85">
        <f t="shared" si="5"/>
        <v>6.4882894859071227E-2</v>
      </c>
      <c r="T72" s="85">
        <f t="shared" si="3"/>
        <v>5.3639904987889619E-2</v>
      </c>
      <c r="U72" s="86">
        <f t="shared" si="6"/>
        <v>4.2223933614980567</v>
      </c>
    </row>
    <row r="73" spans="3:21" x14ac:dyDescent="0.3">
      <c r="C73" s="56">
        <v>37</v>
      </c>
      <c r="D73" s="146">
        <f t="shared" ca="1" si="7"/>
        <v>182.73085556953436</v>
      </c>
      <c r="E73" s="52">
        <f t="shared" ca="1" si="1"/>
        <v>117.83139607757965</v>
      </c>
      <c r="P73" s="84">
        <v>0.17</v>
      </c>
      <c r="Q73" s="85">
        <f t="shared" si="4"/>
        <v>0.78346433268399296</v>
      </c>
      <c r="R73" s="85">
        <f t="shared" si="2"/>
        <v>0.31784610902354782</v>
      </c>
      <c r="S73" s="85">
        <f t="shared" si="5"/>
        <v>6.2412005500875667E-2</v>
      </c>
      <c r="T73" s="85">
        <f t="shared" si="3"/>
        <v>5.5587162262328405E-2</v>
      </c>
      <c r="U73" s="86">
        <f t="shared" si="6"/>
        <v>4.8633273992292985</v>
      </c>
    </row>
    <row r="74" spans="3:21" x14ac:dyDescent="0.3">
      <c r="C74" s="56">
        <v>38</v>
      </c>
      <c r="D74" s="146">
        <f t="shared" ca="1" si="7"/>
        <v>184.18531990703622</v>
      </c>
      <c r="E74" s="52">
        <f t="shared" ca="1" si="1"/>
        <v>116.37693174007779</v>
      </c>
      <c r="P74" s="84">
        <v>0.18000000000000002</v>
      </c>
      <c r="Q74" s="85">
        <f t="shared" si="4"/>
        <v>0.80210130091638532</v>
      </c>
      <c r="R74" s="85">
        <f t="shared" si="2"/>
        <v>0.33302318914152562</v>
      </c>
      <c r="S74" s="85">
        <f t="shared" si="5"/>
        <v>5.9829461772721859E-2</v>
      </c>
      <c r="T74" s="85">
        <f t="shared" si="3"/>
        <v>5.7405903562165128E-2</v>
      </c>
      <c r="U74" s="86">
        <f t="shared" si="6"/>
        <v>5.5696810744299396</v>
      </c>
    </row>
    <row r="75" spans="3:21" x14ac:dyDescent="0.3">
      <c r="C75" s="56">
        <v>39</v>
      </c>
      <c r="D75" s="146">
        <f t="shared" ca="1" si="7"/>
        <v>185.58524926231419</v>
      </c>
      <c r="E75" s="52">
        <f t="shared" ca="1" si="1"/>
        <v>114.97700238479982</v>
      </c>
      <c r="P75" s="84">
        <v>0.19</v>
      </c>
      <c r="Q75" s="85">
        <f t="shared" si="4"/>
        <v>0.8191342073828779</v>
      </c>
      <c r="R75" s="85">
        <f t="shared" si="2"/>
        <v>0.34786259800386077</v>
      </c>
      <c r="S75" s="85">
        <f t="shared" si="5"/>
        <v>5.7178656799667271E-2</v>
      </c>
      <c r="T75" s="85">
        <f t="shared" si="3"/>
        <v>5.9101299066421364E-2</v>
      </c>
      <c r="U75" s="86">
        <f t="shared" si="6"/>
        <v>6.3615171445645311</v>
      </c>
    </row>
    <row r="76" spans="3:21" x14ac:dyDescent="0.3">
      <c r="C76" s="56">
        <v>40</v>
      </c>
      <c r="D76" s="146">
        <f t="shared" ca="1" si="7"/>
        <v>186.93376316212903</v>
      </c>
      <c r="E76" s="52">
        <f t="shared" ca="1" si="1"/>
        <v>113.62848848498498</v>
      </c>
      <c r="P76" s="84">
        <v>0.2</v>
      </c>
      <c r="Q76" s="85">
        <f t="shared" si="4"/>
        <v>0.83470111177841344</v>
      </c>
      <c r="R76" s="85">
        <f t="shared" si="2"/>
        <v>0.36237184837822667</v>
      </c>
      <c r="S76" s="85">
        <f t="shared" si="5"/>
        <v>5.4495729859252662E-2</v>
      </c>
      <c r="T76" s="85">
        <f t="shared" si="3"/>
        <v>6.0678341241286682E-2</v>
      </c>
      <c r="U76" s="86">
        <f t="shared" si="6"/>
        <v>7.2660490707804737</v>
      </c>
    </row>
    <row r="77" spans="3:21" x14ac:dyDescent="0.3">
      <c r="C77" s="56">
        <v>41</v>
      </c>
      <c r="D77" s="146">
        <f t="shared" ca="1" si="7"/>
        <v>188.2337356122917</v>
      </c>
      <c r="E77" s="52">
        <f t="shared" ca="1" si="1"/>
        <v>112.32851603482231</v>
      </c>
      <c r="P77" s="84">
        <v>0.21000000000000002</v>
      </c>
      <c r="Q77" s="85">
        <f t="shared" si="4"/>
        <v>0.84892819116362916</v>
      </c>
      <c r="R77" s="85">
        <f t="shared" si="2"/>
        <v>0.37655828588251095</v>
      </c>
      <c r="S77" s="85">
        <f t="shared" si="5"/>
        <v>5.1810557276725178E-2</v>
      </c>
      <c r="T77" s="85">
        <f t="shared" si="3"/>
        <v>6.2141850494297546E-2</v>
      </c>
      <c r="U77" s="86">
        <f t="shared" si="6"/>
        <v>8.3213323594431543</v>
      </c>
    </row>
    <row r="78" spans="3:21" x14ac:dyDescent="0.3">
      <c r="C78" s="56">
        <v>42</v>
      </c>
      <c r="D78" s="146">
        <f t="shared" ca="1" si="7"/>
        <v>189.48781716537155</v>
      </c>
      <c r="E78" s="52">
        <f t="shared" ca="1" si="1"/>
        <v>111.07443448174246</v>
      </c>
      <c r="P78" s="84">
        <v>0.22</v>
      </c>
      <c r="Q78" s="85">
        <f t="shared" si="4"/>
        <v>0.86193076268910718</v>
      </c>
      <c r="R78" s="85">
        <f t="shared" si="2"/>
        <v>0.39042909270369075</v>
      </c>
      <c r="S78" s="85">
        <f t="shared" si="5"/>
        <v>4.914761985150648E-2</v>
      </c>
      <c r="T78" s="85">
        <f t="shared" si="3"/>
        <v>6.3496480656599852E-2</v>
      </c>
      <c r="U78" s="86">
        <f t="shared" si="6"/>
        <v>9.5824819287924186</v>
      </c>
    </row>
    <row r="79" spans="3:21" x14ac:dyDescent="0.3">
      <c r="C79" s="56">
        <v>43</v>
      </c>
      <c r="D79" s="146">
        <f t="shared" ca="1" si="7"/>
        <v>190.69845492334284</v>
      </c>
      <c r="E79" s="52">
        <f t="shared" ca="1" si="1"/>
        <v>109.86379672377117</v>
      </c>
      <c r="P79" s="84">
        <v>0.23</v>
      </c>
      <c r="Q79" s="85">
        <f t="shared" si="4"/>
        <v>0.87381421829496131</v>
      </c>
      <c r="R79" s="85">
        <f t="shared" si="2"/>
        <v>0.40399129123396904</v>
      </c>
      <c r="S79" s="85">
        <f t="shared" si="5"/>
        <v>4.6526761419140708E-2</v>
      </c>
      <c r="T79" s="85">
        <f t="shared" si="3"/>
        <v>6.4746724298364255E-2</v>
      </c>
      <c r="U79" s="86">
        <f t="shared" si="6"/>
        <v>11.132694579279121</v>
      </c>
    </row>
    <row r="80" spans="3:21" x14ac:dyDescent="0.3">
      <c r="C80" s="56">
        <v>44</v>
      </c>
      <c r="D80" s="146">
        <f t="shared" ca="1" si="7"/>
        <v>191.86791067053912</v>
      </c>
      <c r="E80" s="52">
        <f t="shared" ca="1" si="1"/>
        <v>108.69434097657489</v>
      </c>
      <c r="P80" s="84">
        <v>0.24000000000000002</v>
      </c>
      <c r="Q80" s="85">
        <f t="shared" si="4"/>
        <v>0.88467487896193753</v>
      </c>
      <c r="R80" s="85">
        <f t="shared" si="2"/>
        <v>0.41725174762601036</v>
      </c>
      <c r="S80" s="85">
        <f t="shared" si="5"/>
        <v>4.3963851481676461E-2</v>
      </c>
      <c r="T80" s="85">
        <f t="shared" si="3"/>
        <v>6.5896917882290462E-2</v>
      </c>
      <c r="U80" s="86">
        <f t="shared" si="6"/>
        <v>13.104053058164562</v>
      </c>
    </row>
    <row r="81" spans="3:21" x14ac:dyDescent="0.3">
      <c r="C81" s="56">
        <v>45</v>
      </c>
      <c r="D81" s="146">
        <f t="shared" ca="1" si="7"/>
        <v>192.99827731374882</v>
      </c>
      <c r="E81" s="52">
        <f t="shared" ca="1" si="1"/>
        <v>107.56397433336519</v>
      </c>
      <c r="P81" s="84">
        <v>0.25</v>
      </c>
      <c r="Q81" s="85">
        <f t="shared" si="4"/>
        <v>0.89460077543813565</v>
      </c>
      <c r="R81" s="85">
        <f t="shared" si="2"/>
        <v>0.43021717526907699</v>
      </c>
      <c r="S81" s="85">
        <f t="shared" si="5"/>
        <v>4.1471363355156762E-2</v>
      </c>
      <c r="T81" s="85">
        <f t="shared" si="3"/>
        <v>6.6951246759982097E-2</v>
      </c>
      <c r="U81" s="86">
        <f t="shared" si="6"/>
        <v>15.720000877006699</v>
      </c>
    </row>
    <row r="82" spans="3:21" x14ac:dyDescent="0.3">
      <c r="C82" s="56">
        <v>46</v>
      </c>
      <c r="D82" s="146">
        <f t="shared" ca="1" si="7"/>
        <v>194.09149378950826</v>
      </c>
      <c r="E82" s="52">
        <f t="shared" ca="1" si="1"/>
        <v>106.47075785760575</v>
      </c>
      <c r="P82" s="84">
        <v>0.26</v>
      </c>
      <c r="Q82" s="85">
        <f t="shared" si="4"/>
        <v>0.90367236176950694</v>
      </c>
      <c r="R82" s="85">
        <f t="shared" si="2"/>
        <v>0.44289413818782608</v>
      </c>
      <c r="S82" s="85">
        <f t="shared" si="5"/>
        <v>3.9058877965025704E-2</v>
      </c>
      <c r="T82" s="85">
        <f t="shared" si="3"/>
        <v>6.7913750015842433E-2</v>
      </c>
      <c r="U82" s="86">
        <f t="shared" si="6"/>
        <v>19.391361936913068</v>
      </c>
    </row>
    <row r="83" spans="3:21" x14ac:dyDescent="0.3">
      <c r="C83" s="56">
        <v>47</v>
      </c>
      <c r="D83" s="146">
        <f t="shared" ca="1" si="7"/>
        <v>195.14935858346533</v>
      </c>
      <c r="E83" s="52">
        <f t="shared" ca="1" si="1"/>
        <v>105.41289306364868</v>
      </c>
      <c r="P83" s="84">
        <v>0.27</v>
      </c>
      <c r="Q83" s="85">
        <f t="shared" si="4"/>
        <v>0.9119631674176274</v>
      </c>
      <c r="R83" s="85">
        <f t="shared" si="2"/>
        <v>0.45528905436548706</v>
      </c>
      <c r="S83" s="85">
        <f t="shared" si="5"/>
        <v>3.673352225045344E-2</v>
      </c>
      <c r="T83" s="85">
        <f t="shared" si="3"/>
        <v>6.878832516300315E-2</v>
      </c>
      <c r="U83" s="86">
        <f t="shared" si="6"/>
        <v>24.965609626864222</v>
      </c>
    </row>
    <row r="84" spans="3:21" x14ac:dyDescent="0.3">
      <c r="C84" s="56">
        <v>48</v>
      </c>
      <c r="D84" s="146">
        <f t="shared" ca="1" si="7"/>
        <v>196.17354199294493</v>
      </c>
      <c r="E84" s="52">
        <f t="shared" ca="1" si="1"/>
        <v>104.38870965416908</v>
      </c>
      <c r="P84" s="84">
        <v>0.28000000000000003</v>
      </c>
      <c r="Q84" s="85">
        <f t="shared" si="4"/>
        <v>0.91954039325046755</v>
      </c>
      <c r="R84" s="85">
        <f t="shared" si="2"/>
        <v>0.46740819899310282</v>
      </c>
      <c r="S84" s="85">
        <f t="shared" si="5"/>
        <v>3.4500350100488193E-2</v>
      </c>
      <c r="T84" s="85">
        <f t="shared" si="3"/>
        <v>6.957873269566911E-2</v>
      </c>
      <c r="U84" s="86">
        <f t="shared" si="6"/>
        <v>34.51816744280255</v>
      </c>
    </row>
    <row r="85" spans="3:21" x14ac:dyDescent="0.3">
      <c r="C85" s="56">
        <v>49</v>
      </c>
      <c r="D85" s="146">
        <f t="shared" ca="1" si="7"/>
        <v>197.16559725141013</v>
      </c>
      <c r="E85" s="52">
        <f t="shared" ca="1" si="1"/>
        <v>103.39665439570388</v>
      </c>
      <c r="P85" s="84">
        <v>0.29000000000000004</v>
      </c>
      <c r="Q85" s="85">
        <f t="shared" si="4"/>
        <v>0.92646545623694299</v>
      </c>
      <c r="R85" s="85">
        <f t="shared" si="2"/>
        <v>0.47925770764647913</v>
      </c>
      <c r="S85" s="85">
        <f t="shared" si="5"/>
        <v>3.2362672823989351E-2</v>
      </c>
      <c r="T85" s="85">
        <f t="shared" si="3"/>
        <v>7.0288600502134202E-2</v>
      </c>
      <c r="U85" s="86">
        <f t="shared" si="6"/>
        <v>54.842466057030045</v>
      </c>
    </row>
    <row r="86" spans="3:21" ht="15" thickBot="1" x14ac:dyDescent="0.35">
      <c r="C86" s="56">
        <v>50</v>
      </c>
      <c r="D86" s="146">
        <f t="shared" ca="1" si="7"/>
        <v>198.12697062225649</v>
      </c>
      <c r="E86" s="52">
        <f t="shared" ca="1" si="1"/>
        <v>102.43528102485752</v>
      </c>
      <c r="P86" s="89">
        <v>0.3</v>
      </c>
      <c r="Q86" s="90">
        <f t="shared" si="4"/>
        <v>0.93279448726025027</v>
      </c>
      <c r="R86" s="90">
        <f t="shared" si="2"/>
        <v>0.49084357939245082</v>
      </c>
      <c r="S86" s="90">
        <f t="shared" si="5"/>
        <v>3.0322345338509769E-2</v>
      </c>
      <c r="T86" s="90">
        <f t="shared" si="3"/>
        <v>7.092142814259994E-2</v>
      </c>
      <c r="U86" s="30">
        <f t="shared" si="6"/>
        <v>128.520228167065</v>
      </c>
    </row>
    <row r="87" spans="3:21" x14ac:dyDescent="0.3">
      <c r="C87" s="56">
        <v>51</v>
      </c>
      <c r="D87" s="146">
        <f t="shared" ca="1" si="7"/>
        <v>199.05901055918937</v>
      </c>
      <c r="E87" s="52">
        <f t="shared" ca="1" si="1"/>
        <v>101.50324108792464</v>
      </c>
      <c r="Q87" s="91"/>
      <c r="R87" s="91"/>
      <c r="S87" s="91"/>
      <c r="T87" s="91"/>
    </row>
    <row r="88" spans="3:21" x14ac:dyDescent="0.3">
      <c r="C88" s="56">
        <v>52</v>
      </c>
      <c r="D88" s="146">
        <f t="shared" ca="1" si="7"/>
        <v>199.96297602121325</v>
      </c>
      <c r="E88" s="52">
        <f t="shared" ca="1" si="1"/>
        <v>100.59927562590076</v>
      </c>
      <c r="N88" s="76" t="s">
        <v>51</v>
      </c>
    </row>
    <row r="89" spans="3:21" ht="15" thickBot="1" x14ac:dyDescent="0.35">
      <c r="C89" s="56">
        <v>53</v>
      </c>
      <c r="D89" s="146">
        <f t="shared" ca="1" si="7"/>
        <v>200.84004402191746</v>
      </c>
      <c r="E89" s="52">
        <f t="shared" ca="1" si="1"/>
        <v>99.722207625196546</v>
      </c>
      <c r="O89" t="s">
        <v>71</v>
      </c>
    </row>
    <row r="90" spans="3:21" ht="15" thickBot="1" x14ac:dyDescent="0.35">
      <c r="C90" s="56">
        <v>54</v>
      </c>
      <c r="D90" s="146">
        <f t="shared" ca="1" si="7"/>
        <v>201.69131648518857</v>
      </c>
      <c r="E90" s="52">
        <f t="shared" ca="1" si="1"/>
        <v>98.870935161925445</v>
      </c>
      <c r="O90" s="128" t="s">
        <v>52</v>
      </c>
      <c r="P90" s="129">
        <f ca="1" xml:space="preserve"> ($Q$39 - OFFSET(U57,MATCH($Q$39,$U$57:$U$86,1)-1,0))/(OFFSET(U57,MATCH($Q$39,$U$57:$U$86,1)-1,0) - OFFSET(U57,MATCH($Q$39,$U$57:$U$86,1)-2,0))</f>
        <v>2.075513344207738E-2</v>
      </c>
    </row>
    <row r="91" spans="3:21" ht="15" thickBot="1" x14ac:dyDescent="0.35">
      <c r="C91" s="56">
        <v>55</v>
      </c>
      <c r="D91" s="146">
        <f t="shared" ca="1" si="7"/>
        <v>202.51782647264503</v>
      </c>
      <c r="E91" s="52">
        <f t="shared" ca="1" si="1"/>
        <v>98.044425174468984</v>
      </c>
      <c r="O91" t="s">
        <v>53</v>
      </c>
    </row>
    <row r="92" spans="3:21" x14ac:dyDescent="0.3">
      <c r="C92" s="56">
        <v>56</v>
      </c>
      <c r="D92" s="146">
        <f t="shared" ca="1" si="7"/>
        <v>203.32054384190144</v>
      </c>
      <c r="E92" s="52">
        <f t="shared" ca="1" si="1"/>
        <v>97.24170780521257</v>
      </c>
      <c r="P92" s="156" t="s">
        <v>54</v>
      </c>
      <c r="Q92" s="157"/>
      <c r="R92" s="157"/>
      <c r="S92" s="157"/>
      <c r="T92" s="158"/>
    </row>
    <row r="93" spans="3:21" ht="15" thickBot="1" x14ac:dyDescent="0.35">
      <c r="C93" s="56">
        <v>57</v>
      </c>
      <c r="D93" s="146">
        <f t="shared" ca="1" si="7"/>
        <v>204.10038038917031</v>
      </c>
      <c r="E93" s="52">
        <f t="shared" ca="1" si="1"/>
        <v>96.461871257943699</v>
      </c>
      <c r="P93" s="94">
        <f ca="1" xml:space="preserve"> OFFSET(P57,MATCH($Q$39,$U$57:$U$86,1)-1,0) - OFFSET(P57,MATCH($Q$39,$U$57:$U$86,1)-2,0)</f>
        <v>9.999999999999995E-3</v>
      </c>
      <c r="Q93" s="95">
        <f ca="1" xml:space="preserve"> OFFSET(Q57,MATCH($Q$39,$U$57:$U$86,1)-1,0) - OFFSET(Q57,MATCH($Q$39,$U$57:$U$86,1)-2,0)</f>
        <v>3.8288406482341886E-2</v>
      </c>
      <c r="R93" s="96">
        <f ca="1" xml:space="preserve"> OFFSET(R57,MATCH($Q$39,$U$57:$U$86,1)-1,0) - OFFSET(R57,MATCH($Q$39,$U$57:$U$86,1)-2,0)</f>
        <v>1.8170263838733769E-2</v>
      </c>
      <c r="S93" s="96">
        <f ca="1" xml:space="preserve"> OFFSET(S57,MATCH($Q$39,$U$57:$U$86,1)-1,0) - OFFSET(S57,MATCH($Q$39,$U$57:$U$86,1)-2,0)</f>
        <v>4.172008416241102E-4</v>
      </c>
      <c r="T93" s="97">
        <f ca="1" xml:space="preserve"> OFFSET(T57,MATCH($Q$39,$U$57:$U$86,1)-1,0) - OFFSET(T57,MATCH($Q$39,$U$57:$U$86,1)-2,0)</f>
        <v>3.0078337472234651E-3</v>
      </c>
    </row>
    <row r="94" spans="3:21" ht="15.6" x14ac:dyDescent="0.35">
      <c r="C94" s="56">
        <v>58</v>
      </c>
      <c r="D94" s="146">
        <f t="shared" ca="1" si="7"/>
        <v>204.85819452464108</v>
      </c>
      <c r="E94" s="52">
        <f t="shared" ca="1" si="1"/>
        <v>95.704057122472932</v>
      </c>
      <c r="P94" s="98" t="s">
        <v>55</v>
      </c>
      <c r="Q94" s="99" t="s">
        <v>47</v>
      </c>
      <c r="R94" s="100" t="s">
        <v>48</v>
      </c>
      <c r="S94" s="100" t="s">
        <v>49</v>
      </c>
      <c r="T94" s="101" t="s">
        <v>50</v>
      </c>
    </row>
    <row r="95" spans="3:21" ht="15" thickBot="1" x14ac:dyDescent="0.35">
      <c r="C95" s="56">
        <v>59</v>
      </c>
      <c r="D95" s="146">
        <f t="shared" ca="1" si="7"/>
        <v>205.59479552448818</v>
      </c>
      <c r="E95" s="52">
        <f t="shared" ca="1" si="1"/>
        <v>94.967456122625833</v>
      </c>
      <c r="P95" s="102">
        <f ca="1" xml:space="preserve"> OFFSET(P57,MATCH($Q$39,$U$57:$U$86,1)-1,0) - $P$90*P$93</f>
        <v>9.9792448665579223E-2</v>
      </c>
      <c r="Q95" s="95">
        <f ca="1" xml:space="preserve"> OFFSET(Q57,MATCH($Q$39,$U$57:$U$86,1)-1,0) - $P$90*Q$93</f>
        <v>0.59263565927357531</v>
      </c>
      <c r="R95" s="96">
        <f ca="1" xml:space="preserve"> OFFSET(R57,MATCH($Q$39,$U$57:$U$86,1)-1,0) - $P$90*R$93</f>
        <v>0.20110665498997227</v>
      </c>
      <c r="S95" s="96">
        <f ca="1" xml:space="preserve"> OFFSET(S57,MATCH($Q$39,$U$57:$U$86,1)-1,0) - $P$90*S$93</f>
        <v>7.3689916983379497E-2</v>
      </c>
      <c r="T95" s="97">
        <f ca="1" xml:space="preserve"> OFFSET(T57,MATCH($Q$39,$U$57:$U$86,1)-1,0) - $P$90*T$93</f>
        <v>3.8881667543613378E-2</v>
      </c>
    </row>
    <row r="96" spans="3:21" ht="15" thickBot="1" x14ac:dyDescent="0.35">
      <c r="C96" s="92">
        <v>60</v>
      </c>
      <c r="D96" s="147">
        <f t="shared" ca="1" si="7"/>
        <v>206.31094739920871</v>
      </c>
      <c r="E96" s="148">
        <f t="shared" ca="1" si="1"/>
        <v>94.251304247905296</v>
      </c>
    </row>
    <row r="97" spans="3:22" ht="15.6" x14ac:dyDescent="0.35">
      <c r="P97" s="103" t="s">
        <v>46</v>
      </c>
    </row>
    <row r="98" spans="3:22" ht="15" thickBot="1" x14ac:dyDescent="0.35">
      <c r="C98" t="s">
        <v>108</v>
      </c>
      <c r="P98" s="102">
        <f ca="1" xml:space="preserve"> P95 * $Q$38</f>
        <v>2.4948112166394806E-2</v>
      </c>
    </row>
    <row r="99" spans="3:22" x14ac:dyDescent="0.3">
      <c r="C99" t="s">
        <v>110</v>
      </c>
    </row>
    <row r="100" spans="3:22" ht="15" thickBot="1" x14ac:dyDescent="0.35">
      <c r="C100" t="s">
        <v>109</v>
      </c>
      <c r="N100" t="s">
        <v>56</v>
      </c>
    </row>
    <row r="101" spans="3:22" ht="15.6" x14ac:dyDescent="0.35">
      <c r="C101" t="s">
        <v>111</v>
      </c>
      <c r="P101" s="26" t="s">
        <v>42</v>
      </c>
      <c r="Q101" s="104">
        <f ca="1" xml:space="preserve"> -($S$95*$D$24 - $Q$95*$D$25) / ($Q$95*$T$95 - $R$95*$S$95)</f>
        <v>121.42348826219855</v>
      </c>
    </row>
    <row r="102" spans="3:22" ht="16.2" thickBot="1" x14ac:dyDescent="0.4">
      <c r="P102" s="105" t="s">
        <v>41</v>
      </c>
      <c r="Q102" s="93">
        <f ca="1" xml:space="preserve"> ($T$95*$D$24 - $R$95*$D$25) / ($Q$95*$T$95 - $R$95*$S$95)</f>
        <v>112.34715190777901</v>
      </c>
    </row>
    <row r="104" spans="3:22" x14ac:dyDescent="0.3">
      <c r="N104" t="s">
        <v>82</v>
      </c>
    </row>
    <row r="105" spans="3:22" x14ac:dyDescent="0.3">
      <c r="O105" t="s">
        <v>83</v>
      </c>
    </row>
    <row r="106" spans="3:22" x14ac:dyDescent="0.3">
      <c r="O106" t="s">
        <v>84</v>
      </c>
    </row>
    <row r="107" spans="3:22" ht="15.6" x14ac:dyDescent="0.35">
      <c r="P107" t="s">
        <v>85</v>
      </c>
    </row>
    <row r="108" spans="3:22" x14ac:dyDescent="0.3">
      <c r="O108" t="s">
        <v>88</v>
      </c>
    </row>
    <row r="109" spans="3:22" ht="15.6" x14ac:dyDescent="0.35">
      <c r="O109" t="s">
        <v>91</v>
      </c>
    </row>
    <row r="111" spans="3:22" ht="15" thickBot="1" x14ac:dyDescent="0.35">
      <c r="N111" t="s">
        <v>89</v>
      </c>
    </row>
    <row r="112" spans="3:22" ht="15" thickBot="1" x14ac:dyDescent="0.35">
      <c r="O112" t="s">
        <v>87</v>
      </c>
      <c r="V112" s="139">
        <f xml:space="preserve"> Q26 / (Q25 + Q24 + Q26)</f>
        <v>0.22222222222222221</v>
      </c>
    </row>
    <row r="113" spans="15:22" x14ac:dyDescent="0.3">
      <c r="O113" t="s">
        <v>86</v>
      </c>
    </row>
    <row r="114" spans="15:22" ht="15.6" x14ac:dyDescent="0.35">
      <c r="P114" s="71" t="s">
        <v>92</v>
      </c>
      <c r="Q114" t="s">
        <v>94</v>
      </c>
    </row>
    <row r="115" spans="15:22" ht="15.6" x14ac:dyDescent="0.35">
      <c r="O115" t="s">
        <v>90</v>
      </c>
    </row>
    <row r="116" spans="15:22" ht="15.6" x14ac:dyDescent="0.35">
      <c r="P116" s="71" t="s">
        <v>92</v>
      </c>
      <c r="Q116" t="s">
        <v>93</v>
      </c>
    </row>
    <row r="117" spans="15:22" ht="15" thickBot="1" x14ac:dyDescent="0.35">
      <c r="O117" t="s">
        <v>95</v>
      </c>
    </row>
    <row r="118" spans="15:22" ht="16.8" thickBot="1" x14ac:dyDescent="0.4">
      <c r="P118" s="128" t="s">
        <v>92</v>
      </c>
      <c r="Q118" s="141">
        <f ca="1" xml:space="preserve"> ($V$112 / (1-$V$112)) * ($Q$101 + $Q$102)</f>
        <v>66.791611477136442</v>
      </c>
      <c r="R118" s="140" t="s">
        <v>22</v>
      </c>
    </row>
    <row r="119" spans="15:22" ht="15" thickBot="1" x14ac:dyDescent="0.35">
      <c r="O119" t="s">
        <v>96</v>
      </c>
    </row>
    <row r="120" spans="15:22" ht="16.2" thickBot="1" x14ac:dyDescent="0.4">
      <c r="P120" s="142" t="s">
        <v>97</v>
      </c>
      <c r="Q120" s="143"/>
      <c r="R120" s="143" t="s">
        <v>98</v>
      </c>
      <c r="S120" s="143"/>
      <c r="T120" s="143"/>
      <c r="U120" s="143"/>
      <c r="V120" s="144"/>
    </row>
  </sheetData>
  <mergeCells count="4">
    <mergeCell ref="C21:C23"/>
    <mergeCell ref="E21:F21"/>
    <mergeCell ref="E22:F22"/>
    <mergeCell ref="P92:T92"/>
  </mergeCells>
  <conditionalFormatting sqref="P57:P87">
    <cfRule type="cellIs" dxfId="5" priority="5" operator="equal">
      <formula>$X$55</formula>
    </cfRule>
  </conditionalFormatting>
  <conditionalFormatting sqref="Q57:U87">
    <cfRule type="expression" dxfId="4" priority="6">
      <formula xml:space="preserve"> IF(INDIRECT("RC16",FALSE) = $X$55,TRUE,FALSE)</formula>
    </cfRule>
  </conditionalFormatting>
  <conditionalFormatting sqref="C36:E96">
    <cfRule type="expression" dxfId="3" priority="1">
      <formula>IF($C36=$F$25,TRUE,FALSE)</formula>
    </cfRule>
    <cfRule type="expression" dxfId="2" priority="2">
      <formula>IF($C36=$E$25,TRUE,FALSE)</formula>
    </cfRule>
    <cfRule type="expression" dxfId="1" priority="3">
      <formula>IF($C36=$E$24,TRUE,FALSE)</formula>
    </cfRule>
    <cfRule type="expression" dxfId="0" priority="4">
      <formula>IF($C36=$F$24,TRUE,FALSE)</formula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</cp:lastModifiedBy>
  <dcterms:created xsi:type="dcterms:W3CDTF">2019-11-21T14:31:02Z</dcterms:created>
  <dcterms:modified xsi:type="dcterms:W3CDTF">2019-12-22T15:41:46Z</dcterms:modified>
</cp:coreProperties>
</file>